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Tool Devt &amp; Review\GS Design &amp; As Built\02. Working Copy\01. Calculators and Scorecard\00. Scorecard\"/>
    </mc:Choice>
  </mc:AlternateContent>
  <workbookProtection workbookAlgorithmName="SHA-512" workbookHashValue="qbTLerUudxk3Ykfjl1k2HWPTc0ziQmtwjBNdSTwk3jyaSZDLzBw7C3Si44mGQc1TMulCDpJ5BufC2TcuqEyALg==" workbookSaltValue="N8IQjmEfqfKDkclXBkKIng==" workbookSpinCount="100000" lockStructure="1"/>
  <bookViews>
    <workbookView xWindow="525" yWindow="1185" windowWidth="20610" windowHeight="8325" tabRatio="542"/>
  </bookViews>
  <sheets>
    <sheet name="Disclaimer" sheetId="26" r:id="rId1"/>
    <sheet name="Change Log" sheetId="18" r:id="rId2"/>
    <sheet name="Instructions" sheetId="21" r:id="rId3"/>
    <sheet name="Building Input Sheet" sheetId="16" r:id="rId4"/>
    <sheet name="Design Review Scorecard" sheetId="29" r:id="rId5"/>
    <sheet name="As Built Scorecard" sheetId="31" r:id="rId6"/>
    <sheet name="Submission Planner" sheetId="27" r:id="rId7"/>
  </sheets>
  <externalReferences>
    <externalReference r:id="rId8"/>
    <externalReference r:id="rId9"/>
    <externalReference r:id="rId10"/>
    <externalReference r:id="rId11"/>
    <externalReference r:id="rId12"/>
  </externalReferences>
  <definedNames>
    <definedName name="Address">[1]Inputs!$C$3</definedName>
    <definedName name="Are_Urinals_installed?" localSheetId="5">#REF!</definedName>
    <definedName name="Are_Urinals_installed?" localSheetId="4">#REF!</definedName>
    <definedName name="Are_Urinals_installed?" localSheetId="6">#REF!</definedName>
    <definedName name="Are_Urinals_installed?">#REF!</definedName>
    <definedName name="ene1_fields" localSheetId="5">'[2]Building Input'!$C$7:$C$11,'[2]Building Input'!$C$14:$C$15,'[2]Building Input'!$C$17,'[2]Building Input'!$C$19:$C$28,'[2]Building Input'!$C$30:$C$34,'[2]Building Input'!$C$45,'[2]Building Input'!$C$47,'[2]Building Input'!#REF!</definedName>
    <definedName name="ene1_fields" localSheetId="4">'[2]Building Input'!$C$7:$C$11,'[2]Building Input'!$C$14:$C$15,'[2]Building Input'!$C$17,'[2]Building Input'!$C$19:$C$28,'[2]Building Input'!$C$30:$C$34,'[2]Building Input'!$C$45,'[2]Building Input'!$C$47,'[2]Building Input'!#REF!</definedName>
    <definedName name="ene1_fields" localSheetId="6">'[2]Building Input'!$C$7:$C$11,'[2]Building Input'!$C$14:$C$15,'[2]Building Input'!$C$17,'[2]Building Input'!$C$19:$C$28,'[2]Building Input'!$C$30:$C$34,'[2]Building Input'!$C$45,'[2]Building Input'!$C$47,'[2]Building Input'!#REF!</definedName>
    <definedName name="ene1_fields">'[2]Building Input'!$C$7:$C$11,'[2]Building Input'!$C$14:$C$15,'[2]Building Input'!$C$17,'[2]Building Input'!$C$19:$C$28,'[2]Building Input'!$C$30:$C$34,'[2]Building Input'!$C$45,'[2]Building Input'!$C$47,'[2]Building Input'!#REF!</definedName>
    <definedName name="Ene1_headingsEC">'[2]Ecology Calculator'!$B$5,'[2]Ecology Calculator'!$B$7,'[2]Ecology Calculator'!$B$9:$F$10,'[2]Ecology Calculator'!$B$11:$B$31,'[2]Ecology Calculator'!$D$28:$F$31</definedName>
    <definedName name="Enecon_fields" localSheetId="5">'[2]Building Input'!$C$7:$C$11,'[2]Building Input'!$C$14:$C$15,'[2]Building Input'!$C$17,'[2]Building Input'!$C$19:$C$28,'[2]Building Input'!$C$30:$C$34,'[2]Building Input'!$C$45,'[2]Building Input'!$C$47,'[2]Building Input'!#REF!</definedName>
    <definedName name="Enecon_fields" localSheetId="4">'[2]Building Input'!$C$7:$C$11,'[2]Building Input'!$C$14:$C$15,'[2]Building Input'!$C$17,'[2]Building Input'!$C$19:$C$28,'[2]Building Input'!$C$30:$C$34,'[2]Building Input'!$C$45,'[2]Building Input'!$C$47,'[2]Building Input'!#REF!</definedName>
    <definedName name="Enecon_fields" localSheetId="6">'[2]Building Input'!$C$7:$C$11,'[2]Building Input'!$C$14:$C$15,'[2]Building Input'!$C$17,'[2]Building Input'!$C$19:$C$28,'[2]Building Input'!$C$30:$C$34,'[2]Building Input'!$C$45,'[2]Building Input'!$C$47,'[2]Building Input'!#REF!</definedName>
    <definedName name="Enecon_fields">'[2]Building Input'!$C$7:$C$11,'[2]Building Input'!$C$14:$C$15,'[2]Building Input'!$C$17,'[2]Building Input'!$C$19:$C$28,'[2]Building Input'!$C$30:$C$34,'[2]Building Input'!$C$45,'[2]Building Input'!$C$47,'[2]Building Input'!#REF!</definedName>
    <definedName name="Enecon_headingsEC">'[2]Ecology Calculator'!$B$5,'[2]Ecology Calculator'!$B$7,'[2]Ecology Calculator'!$B$9:$F$10,'[2]Ecology Calculator'!$B$11:$B$31,'[2]Ecology Calculator'!$D$28:$F$31</definedName>
    <definedName name="Fields" localSheetId="5">'[3]Building Input'!$C$9:$C$13,'[3]Building Input'!#REF!,'[3]Building Input'!#REF!,'[3]Building Input'!#REF!,'[3]Building Input'!$C$17:$C$17,'[3]Building Input'!#REF!,'[3]Building Input'!#REF!,'[3]Building Input'!#REF!</definedName>
    <definedName name="Fields" localSheetId="4">'[3]Building Input'!$C$9:$C$13,'[3]Building Input'!#REF!,'[3]Building Input'!#REF!,'[3]Building Input'!#REF!,'[3]Building Input'!$C$17:$C$17,'[3]Building Input'!#REF!,'[3]Building Input'!#REF!,'[3]Building Input'!#REF!</definedName>
    <definedName name="Fields" localSheetId="6">'[3]Building Input'!$C$9:$C$13,'[3]Building Input'!#REF!,'[3]Building Input'!#REF!,'[3]Building Input'!#REF!,'[3]Building Input'!$C$17:$C$17,'[3]Building Input'!#REF!,'[3]Building Input'!#REF!,'[3]Building Input'!#REF!</definedName>
    <definedName name="Fields">'[3]Building Input'!$C$9:$C$13,'[3]Building Input'!#REF!,'[3]Building Input'!#REF!,'[3]Building Input'!#REF!,'[3]Building Input'!$C$17:$C$17,'[3]Building Input'!#REF!,'[3]Building Input'!#REF!,'[3]Building Input'!#REF!</definedName>
    <definedName name="fields2">'[4]Building Input'!$C$7:$C$11,'[4]Building Input'!$C$14:$C$15,'[4]Building Input'!$C$17,'[4]Building Input'!$C$19:$C$28,'[4]Building Input'!$C$35:$C$37,'[4]Building Input'!$C$39,'[4]Building Input'!$C$41,'[4]Building Input'!$C$43:$C$44</definedName>
    <definedName name="Fields3">'[5]Building Input'!$C$7:$C$11,'[5]Building Input'!$C$14:$C$15,'[5]Building Input'!$C$17,'[5]Building Input'!$C$19:$C$28,'[5]Building Input'!$C$35:$C$37,'[5]Building Input'!$C$39,'[5]Building Input'!$C$41,'[5]Building Input'!$C$43:$C$44</definedName>
    <definedName name="Headings" localSheetId="5">#REF!,#REF!,#REF!,#REF!,#REF!</definedName>
    <definedName name="Headings" localSheetId="4">#REF!,#REF!,#REF!,#REF!,#REF!</definedName>
    <definedName name="Headings" localSheetId="6">#REF!,#REF!,#REF!,#REF!,#REF!</definedName>
    <definedName name="Headings">#REF!,#REF!,#REF!,#REF!,#REF!</definedName>
    <definedName name="Headings2">'[5]Transport Calculator'!$B$5:$B$11,'[5]Transport Calculator'!$C$5:$D$7,'[5]Transport Calculator'!$B$14:$B$20,'[5]Transport Calculator'!$C$14:$D$16,'[5]Transport Calculator'!$C$22:$D$22</definedName>
    <definedName name="HeadingsEC" localSheetId="5">#REF!,#REF!,#REF!,#REF!,#REF!</definedName>
    <definedName name="HeadingsEC" localSheetId="4">#REF!,#REF!,#REF!,#REF!,#REF!</definedName>
    <definedName name="HeadingsEC" localSheetId="6">#REF!,#REF!,#REF!,#REF!,#REF!</definedName>
    <definedName name="HeadingsEC">#REF!,#REF!,#REF!,#REF!,#REF!</definedName>
    <definedName name="Headingsec2">'[5]Ecology Calculator'!$B$5,'[5]Ecology Calculator'!$B$7,'[5]Ecology Calculator'!$B$9:$F$10,'[5]Ecology Calculator'!$B$11:$B$31,'[5]Ecology Calculator'!$D$28:$F$31</definedName>
    <definedName name="Labels" localSheetId="5">#REF!,#REF!</definedName>
    <definedName name="Labels" localSheetId="4">#REF!,#REF!</definedName>
    <definedName name="Labels" localSheetId="6">#REF!,#REF!</definedName>
    <definedName name="Labels">#REF!,#REF!</definedName>
    <definedName name="method" localSheetId="5">#REF!</definedName>
    <definedName name="method" localSheetId="4">#REF!</definedName>
    <definedName name="method" localSheetId="6">#REF!</definedName>
    <definedName name="method">#REF!</definedName>
    <definedName name="Pal_Workbook_GUID" hidden="1">"NZ8LMWRV7V7KZYBEMNIRIE8E"</definedName>
    <definedName name="_xlnm.Print_Area" localSheetId="5">'As Built Scorecard'!$F$26:$J$44</definedName>
    <definedName name="_xlnm.Print_Area" localSheetId="3">'Building Input Sheet'!$A$1:$C$49</definedName>
    <definedName name="_xlnm.Print_Area" localSheetId="1">'Change Log'!$A$2:$C$5</definedName>
    <definedName name="_xlnm.Print_Area" localSheetId="4">'Design Review Scorecard'!$F$26:$J$44</definedName>
    <definedName name="_xlnm.Print_Area" localSheetId="2">Instructions!$A$1:$F$16</definedName>
    <definedName name="_xlnm.Print_Area" localSheetId="6">'Submission Planner'!$F$26:$J$44</definedName>
    <definedName name="VITMZone">[1]Inputs!$I$5</definedName>
    <definedName name="WhiteSpace" localSheetId="5">#REF!,#REF!</definedName>
    <definedName name="WhiteSpace" localSheetId="4">#REF!,#REF!</definedName>
    <definedName name="WhiteSpace" localSheetId="6">#REF!,#REF!</definedName>
    <definedName name="WhiteSpace">#REF!,#REF!</definedName>
    <definedName name="yes" localSheetId="5">#REF!</definedName>
    <definedName name="yes" localSheetId="4">#REF!</definedName>
    <definedName name="yes" localSheetId="6">#REF!</definedName>
    <definedName name="yes">#REF!</definedName>
  </definedNames>
  <calcPr calcId="152511"/>
</workbook>
</file>

<file path=xl/calcChain.xml><?xml version="1.0" encoding="utf-8"?>
<calcChain xmlns="http://schemas.openxmlformats.org/spreadsheetml/2006/main">
  <c r="Q139" i="31" l="1"/>
  <c r="P3" i="31" s="1"/>
  <c r="Q138" i="31"/>
  <c r="P138" i="31"/>
  <c r="O138" i="31"/>
  <c r="Q137" i="31"/>
  <c r="P137" i="31"/>
  <c r="O137" i="31"/>
  <c r="R136" i="31"/>
  <c r="R139" i="31" s="1"/>
  <c r="Q136" i="31"/>
  <c r="P136" i="31"/>
  <c r="O136" i="31"/>
  <c r="Q135" i="31"/>
  <c r="P135" i="31"/>
  <c r="L123" i="31"/>
  <c r="K123" i="31"/>
  <c r="K128" i="31" s="1"/>
  <c r="J123" i="31"/>
  <c r="N122" i="31"/>
  <c r="M122" i="31"/>
  <c r="N121" i="31"/>
  <c r="M121" i="31"/>
  <c r="N120" i="31"/>
  <c r="M120" i="31"/>
  <c r="N119" i="31"/>
  <c r="N123" i="31" s="1"/>
  <c r="M119" i="31"/>
  <c r="N118" i="31"/>
  <c r="M118" i="31"/>
  <c r="M123" i="31" s="1"/>
  <c r="K115" i="31"/>
  <c r="L115" i="31" s="1"/>
  <c r="J115" i="31"/>
  <c r="N114" i="31"/>
  <c r="M114" i="31"/>
  <c r="N113" i="31"/>
  <c r="M113" i="31"/>
  <c r="N112" i="31"/>
  <c r="M112" i="31"/>
  <c r="L112" i="31"/>
  <c r="N111" i="31"/>
  <c r="M111" i="31"/>
  <c r="N110" i="31"/>
  <c r="M110" i="31"/>
  <c r="N109" i="31"/>
  <c r="N115" i="31" s="1"/>
  <c r="M109" i="31"/>
  <c r="M115" i="31" s="1"/>
  <c r="J108" i="31"/>
  <c r="K106" i="31"/>
  <c r="J106" i="31"/>
  <c r="L106" i="31" s="1"/>
  <c r="N105" i="31"/>
  <c r="M105" i="31"/>
  <c r="N104" i="31"/>
  <c r="M104" i="31"/>
  <c r="L104" i="31"/>
  <c r="J104" i="31"/>
  <c r="B104" i="31"/>
  <c r="N103" i="31"/>
  <c r="M103" i="31"/>
  <c r="L103" i="31"/>
  <c r="N102" i="31"/>
  <c r="M102" i="31"/>
  <c r="N101" i="31"/>
  <c r="M101" i="31"/>
  <c r="L101" i="31"/>
  <c r="N100" i="31"/>
  <c r="N106" i="31" s="1"/>
  <c r="M100" i="31"/>
  <c r="M106" i="31" s="1"/>
  <c r="J99" i="31"/>
  <c r="M97" i="31"/>
  <c r="L97" i="31"/>
  <c r="K97" i="31"/>
  <c r="J97" i="31"/>
  <c r="N96" i="31"/>
  <c r="M96" i="31"/>
  <c r="J96" i="31"/>
  <c r="J95" i="31"/>
  <c r="N94" i="31"/>
  <c r="M94" i="31"/>
  <c r="N93" i="31"/>
  <c r="M93" i="31"/>
  <c r="J93" i="31"/>
  <c r="B93" i="31"/>
  <c r="N92" i="31"/>
  <c r="M92" i="31"/>
  <c r="J92" i="31"/>
  <c r="B92" i="31"/>
  <c r="N91" i="31"/>
  <c r="M91" i="31"/>
  <c r="J91" i="31"/>
  <c r="B91" i="31"/>
  <c r="N90" i="31"/>
  <c r="M90" i="31"/>
  <c r="J90" i="31"/>
  <c r="B90" i="31"/>
  <c r="J85" i="31" s="1"/>
  <c r="N89" i="31"/>
  <c r="M89" i="31"/>
  <c r="J89" i="31"/>
  <c r="N88" i="31"/>
  <c r="M88" i="31"/>
  <c r="L88" i="31"/>
  <c r="J88" i="31"/>
  <c r="N87" i="31"/>
  <c r="M87" i="31"/>
  <c r="J87" i="31"/>
  <c r="N86" i="31"/>
  <c r="N97" i="31" s="1"/>
  <c r="M86" i="31"/>
  <c r="J86" i="31"/>
  <c r="K83" i="31"/>
  <c r="N82" i="31"/>
  <c r="M82" i="31"/>
  <c r="J82" i="31"/>
  <c r="B82" i="31"/>
  <c r="N81" i="31"/>
  <c r="M81" i="31"/>
  <c r="J81" i="31"/>
  <c r="B81" i="31"/>
  <c r="J76" i="31" s="1"/>
  <c r="N80" i="31"/>
  <c r="M80" i="31"/>
  <c r="J80" i="31"/>
  <c r="N79" i="31"/>
  <c r="N83" i="31" s="1"/>
  <c r="M79" i="31"/>
  <c r="J79" i="31"/>
  <c r="N78" i="31"/>
  <c r="M78" i="31"/>
  <c r="M83" i="31" s="1"/>
  <c r="J78" i="31"/>
  <c r="N77" i="31"/>
  <c r="M77" i="31"/>
  <c r="J77" i="31"/>
  <c r="J83" i="31" s="1"/>
  <c r="L83" i="31" s="1"/>
  <c r="K74" i="31"/>
  <c r="N73" i="31"/>
  <c r="M73" i="31"/>
  <c r="J73" i="31"/>
  <c r="N72" i="31"/>
  <c r="M72" i="31"/>
  <c r="J72" i="31"/>
  <c r="N71" i="31"/>
  <c r="M71" i="31"/>
  <c r="J71" i="31"/>
  <c r="B71" i="31"/>
  <c r="N70" i="31"/>
  <c r="M70" i="31"/>
  <c r="J70" i="31"/>
  <c r="B70" i="31"/>
  <c r="J67" i="31" s="1"/>
  <c r="N69" i="31"/>
  <c r="M69" i="31"/>
  <c r="J69" i="31"/>
  <c r="N68" i="31"/>
  <c r="N74" i="31" s="1"/>
  <c r="M68" i="31"/>
  <c r="M74" i="31" s="1"/>
  <c r="J68" i="31"/>
  <c r="K65" i="31"/>
  <c r="N64" i="31"/>
  <c r="M64" i="31"/>
  <c r="J64" i="31"/>
  <c r="N63" i="31"/>
  <c r="M63" i="31"/>
  <c r="J63" i="31"/>
  <c r="N62" i="31"/>
  <c r="M62" i="31"/>
  <c r="L62" i="31"/>
  <c r="J62" i="31"/>
  <c r="N61" i="31"/>
  <c r="M61" i="31"/>
  <c r="N60" i="31"/>
  <c r="M60" i="31"/>
  <c r="L60" i="31"/>
  <c r="J60" i="31"/>
  <c r="N59" i="31"/>
  <c r="M59" i="31"/>
  <c r="N58" i="31"/>
  <c r="M58" i="31"/>
  <c r="L58" i="31"/>
  <c r="J58" i="31"/>
  <c r="N57" i="31"/>
  <c r="M57" i="31"/>
  <c r="N56" i="31"/>
  <c r="M56" i="31"/>
  <c r="L56" i="31"/>
  <c r="J56" i="31"/>
  <c r="N55" i="31"/>
  <c r="M55" i="31"/>
  <c r="N54" i="31"/>
  <c r="M54" i="31"/>
  <c r="J54" i="31"/>
  <c r="N53" i="31"/>
  <c r="M53" i="31"/>
  <c r="J53" i="31"/>
  <c r="N52" i="31"/>
  <c r="M52" i="31"/>
  <c r="J52" i="31"/>
  <c r="N51" i="31"/>
  <c r="M51" i="31"/>
  <c r="J51" i="31"/>
  <c r="N50" i="31"/>
  <c r="M50" i="31"/>
  <c r="J50" i="31"/>
  <c r="N49" i="31"/>
  <c r="M49" i="31"/>
  <c r="J49" i="31"/>
  <c r="J65" i="31" s="1"/>
  <c r="L65" i="31" s="1"/>
  <c r="N48" i="31"/>
  <c r="M48" i="31"/>
  <c r="J48" i="31"/>
  <c r="N47" i="31"/>
  <c r="N65" i="31" s="1"/>
  <c r="M47" i="31"/>
  <c r="M65" i="31" s="1"/>
  <c r="L47" i="31"/>
  <c r="J46" i="31"/>
  <c r="K44" i="31"/>
  <c r="N43" i="31"/>
  <c r="M43" i="31"/>
  <c r="J43" i="31"/>
  <c r="B43" i="31"/>
  <c r="N42" i="31"/>
  <c r="M42" i="31"/>
  <c r="J42" i="31"/>
  <c r="B42" i="31"/>
  <c r="N41" i="31"/>
  <c r="M41" i="31"/>
  <c r="J41" i="31"/>
  <c r="B41" i="31"/>
  <c r="N40" i="31"/>
  <c r="M40" i="31"/>
  <c r="J40" i="31"/>
  <c r="B40" i="31"/>
  <c r="N39" i="31"/>
  <c r="M39" i="31"/>
  <c r="L39" i="31"/>
  <c r="J39" i="31"/>
  <c r="B39" i="31"/>
  <c r="N38" i="31"/>
  <c r="M38" i="31"/>
  <c r="L38" i="31"/>
  <c r="J38" i="31"/>
  <c r="B38" i="31"/>
  <c r="N37" i="31"/>
  <c r="M37" i="31"/>
  <c r="N36" i="31"/>
  <c r="M36" i="31"/>
  <c r="L36" i="31"/>
  <c r="J36" i="31"/>
  <c r="B36" i="31"/>
  <c r="N35" i="31"/>
  <c r="M35" i="31"/>
  <c r="L35" i="31"/>
  <c r="J35" i="31"/>
  <c r="B35" i="31"/>
  <c r="N34" i="31"/>
  <c r="M34" i="31"/>
  <c r="L34" i="31"/>
  <c r="J34" i="31"/>
  <c r="B34" i="31"/>
  <c r="N33" i="31"/>
  <c r="N44" i="31" s="1"/>
  <c r="M33" i="31"/>
  <c r="M44" i="31" s="1"/>
  <c r="N32" i="31"/>
  <c r="M32" i="31"/>
  <c r="J32" i="31"/>
  <c r="B32" i="31"/>
  <c r="N31" i="31"/>
  <c r="M31" i="31"/>
  <c r="J31" i="31"/>
  <c r="B31" i="31"/>
  <c r="N30" i="31"/>
  <c r="M30" i="31"/>
  <c r="J30" i="31"/>
  <c r="B30" i="31"/>
  <c r="N29" i="31"/>
  <c r="M29" i="31"/>
  <c r="J29" i="31"/>
  <c r="B29" i="31"/>
  <c r="N28" i="31"/>
  <c r="M28" i="31"/>
  <c r="J28" i="31"/>
  <c r="B28" i="31"/>
  <c r="N27" i="31"/>
  <c r="M27" i="31"/>
  <c r="J27" i="31"/>
  <c r="J44" i="31" s="1"/>
  <c r="L44" i="31" s="1"/>
  <c r="B27" i="31"/>
  <c r="B126" i="31" s="1"/>
  <c r="J126" i="31" s="1"/>
  <c r="J3" i="31" s="1"/>
  <c r="K24" i="31"/>
  <c r="K126" i="31" s="1"/>
  <c r="K127" i="31" s="1"/>
  <c r="N23" i="31"/>
  <c r="M23" i="31"/>
  <c r="L23" i="31"/>
  <c r="J23" i="31"/>
  <c r="N22" i="31"/>
  <c r="M22" i="31"/>
  <c r="L22" i="31"/>
  <c r="J22" i="31"/>
  <c r="J24" i="31" s="1"/>
  <c r="L24" i="31" s="1"/>
  <c r="N21" i="31"/>
  <c r="M21" i="31"/>
  <c r="L21" i="31"/>
  <c r="N20" i="31"/>
  <c r="M20" i="31"/>
  <c r="N19" i="31"/>
  <c r="M19" i="31"/>
  <c r="L19" i="31"/>
  <c r="N18" i="31"/>
  <c r="M18" i="31"/>
  <c r="N17" i="31"/>
  <c r="M17" i="31"/>
  <c r="L17" i="31"/>
  <c r="N16" i="31"/>
  <c r="M16" i="31"/>
  <c r="L16" i="31"/>
  <c r="N15" i="31"/>
  <c r="M15" i="31"/>
  <c r="L15" i="31"/>
  <c r="N14" i="31"/>
  <c r="M14" i="31"/>
  <c r="L14" i="31"/>
  <c r="N13" i="31"/>
  <c r="M13" i="31"/>
  <c r="L13" i="31"/>
  <c r="N12" i="31"/>
  <c r="M12" i="31"/>
  <c r="L12" i="31"/>
  <c r="N11" i="31"/>
  <c r="M11" i="31"/>
  <c r="L11" i="31"/>
  <c r="N10" i="31"/>
  <c r="M10" i="31"/>
  <c r="L10" i="31"/>
  <c r="N9" i="31"/>
  <c r="M9" i="31"/>
  <c r="L9" i="31"/>
  <c r="N8" i="31"/>
  <c r="M8" i="31"/>
  <c r="N7" i="31"/>
  <c r="N24" i="31" s="1"/>
  <c r="M7" i="31"/>
  <c r="M24" i="31" s="1"/>
  <c r="M126" i="31" s="1"/>
  <c r="M3" i="31" s="1"/>
  <c r="J6" i="31"/>
  <c r="G2" i="31"/>
  <c r="B82" i="29"/>
  <c r="B81" i="29"/>
  <c r="B71" i="29"/>
  <c r="B70" i="29"/>
  <c r="J74" i="31" l="1"/>
  <c r="L74" i="31" s="1"/>
  <c r="K129" i="31"/>
  <c r="K3" i="31" s="1"/>
  <c r="G3" i="31" s="1"/>
  <c r="N126" i="31"/>
  <c r="N3" i="31" s="1"/>
  <c r="R137" i="31"/>
  <c r="J26" i="31"/>
  <c r="Q139" i="29" l="1"/>
  <c r="Q138" i="29"/>
  <c r="P138" i="29"/>
  <c r="O138" i="29"/>
  <c r="Q137" i="29"/>
  <c r="P137" i="29"/>
  <c r="O137" i="29"/>
  <c r="Q136" i="29"/>
  <c r="P136" i="29"/>
  <c r="O136" i="29"/>
  <c r="Q135" i="29"/>
  <c r="P135" i="29"/>
  <c r="K123" i="29"/>
  <c r="K128" i="29" s="1"/>
  <c r="J123" i="29"/>
  <c r="N122" i="29"/>
  <c r="M122" i="29"/>
  <c r="N121" i="29"/>
  <c r="M121" i="29"/>
  <c r="N120" i="29"/>
  <c r="M120" i="29"/>
  <c r="N119" i="29"/>
  <c r="M119" i="29"/>
  <c r="N118" i="29"/>
  <c r="M118" i="29"/>
  <c r="M123" i="29" s="1"/>
  <c r="K115" i="29"/>
  <c r="J115" i="29"/>
  <c r="N114" i="29"/>
  <c r="M114" i="29"/>
  <c r="N113" i="29"/>
  <c r="M113" i="29"/>
  <c r="N112" i="29"/>
  <c r="M112" i="29"/>
  <c r="L112" i="29"/>
  <c r="N111" i="29"/>
  <c r="M111" i="29"/>
  <c r="N110" i="29"/>
  <c r="M110" i="29"/>
  <c r="N109" i="29"/>
  <c r="M109" i="29"/>
  <c r="J108" i="29"/>
  <c r="K106" i="29"/>
  <c r="N105" i="29"/>
  <c r="M105" i="29"/>
  <c r="N104" i="29"/>
  <c r="M104" i="29"/>
  <c r="L104" i="29"/>
  <c r="J104" i="29"/>
  <c r="J106" i="29" s="1"/>
  <c r="B104" i="29"/>
  <c r="J99" i="29" s="1"/>
  <c r="N103" i="29"/>
  <c r="M103" i="29"/>
  <c r="L103" i="29"/>
  <c r="N102" i="29"/>
  <c r="M102" i="29"/>
  <c r="N101" i="29"/>
  <c r="M101" i="29"/>
  <c r="L101" i="29"/>
  <c r="N100" i="29"/>
  <c r="M100" i="29"/>
  <c r="K97" i="29"/>
  <c r="J97" i="29"/>
  <c r="N96" i="29"/>
  <c r="M96" i="29"/>
  <c r="J96" i="29"/>
  <c r="J95" i="29"/>
  <c r="N94" i="29"/>
  <c r="M94" i="29"/>
  <c r="N93" i="29"/>
  <c r="M93" i="29"/>
  <c r="J93" i="29"/>
  <c r="B93" i="29"/>
  <c r="N92" i="29"/>
  <c r="M92" i="29"/>
  <c r="J92" i="29"/>
  <c r="B92" i="29"/>
  <c r="N91" i="29"/>
  <c r="M91" i="29"/>
  <c r="J91" i="29"/>
  <c r="B91" i="29"/>
  <c r="N90" i="29"/>
  <c r="M90" i="29"/>
  <c r="J90" i="29"/>
  <c r="B90" i="29"/>
  <c r="J85" i="29" s="1"/>
  <c r="N89" i="29"/>
  <c r="M89" i="29"/>
  <c r="J89" i="29"/>
  <c r="N88" i="29"/>
  <c r="M88" i="29"/>
  <c r="L88" i="29"/>
  <c r="J88" i="29"/>
  <c r="N87" i="29"/>
  <c r="M87" i="29"/>
  <c r="J87" i="29"/>
  <c r="N86" i="29"/>
  <c r="M86" i="29"/>
  <c r="J86" i="29"/>
  <c r="K83" i="29"/>
  <c r="N82" i="29"/>
  <c r="M82" i="29"/>
  <c r="J82" i="29"/>
  <c r="N81" i="29"/>
  <c r="M81" i="29"/>
  <c r="J81" i="29"/>
  <c r="N80" i="29"/>
  <c r="M80" i="29"/>
  <c r="J80" i="29"/>
  <c r="N79" i="29"/>
  <c r="M79" i="29"/>
  <c r="J79" i="29"/>
  <c r="N78" i="29"/>
  <c r="M78" i="29"/>
  <c r="J78" i="29"/>
  <c r="N77" i="29"/>
  <c r="M77" i="29"/>
  <c r="J77" i="29"/>
  <c r="K74" i="29"/>
  <c r="N73" i="29"/>
  <c r="M73" i="29"/>
  <c r="J73" i="29"/>
  <c r="N72" i="29"/>
  <c r="M72" i="29"/>
  <c r="J72" i="29"/>
  <c r="N71" i="29"/>
  <c r="M71" i="29"/>
  <c r="J71" i="29"/>
  <c r="N70" i="29"/>
  <c r="M70" i="29"/>
  <c r="J70" i="29"/>
  <c r="N69" i="29"/>
  <c r="M69" i="29"/>
  <c r="J69" i="29"/>
  <c r="N68" i="29"/>
  <c r="M68" i="29"/>
  <c r="J68" i="29"/>
  <c r="K65" i="29"/>
  <c r="N64" i="29"/>
  <c r="M64" i="29"/>
  <c r="J64" i="29"/>
  <c r="N63" i="29"/>
  <c r="M63" i="29"/>
  <c r="J63" i="29"/>
  <c r="N62" i="29"/>
  <c r="M62" i="29"/>
  <c r="L62" i="29"/>
  <c r="J62" i="29"/>
  <c r="N61" i="29"/>
  <c r="M61" i="29"/>
  <c r="N60" i="29"/>
  <c r="M60" i="29"/>
  <c r="L60" i="29"/>
  <c r="J60" i="29"/>
  <c r="N59" i="29"/>
  <c r="M59" i="29"/>
  <c r="N58" i="29"/>
  <c r="M58" i="29"/>
  <c r="L58" i="29"/>
  <c r="J58" i="29"/>
  <c r="N57" i="29"/>
  <c r="M57" i="29"/>
  <c r="N56" i="29"/>
  <c r="M56" i="29"/>
  <c r="L56" i="29"/>
  <c r="J56" i="29"/>
  <c r="N55" i="29"/>
  <c r="M55" i="29"/>
  <c r="N54" i="29"/>
  <c r="M54" i="29"/>
  <c r="J54" i="29"/>
  <c r="N53" i="29"/>
  <c r="M53" i="29"/>
  <c r="J53" i="29"/>
  <c r="N52" i="29"/>
  <c r="M52" i="29"/>
  <c r="J52" i="29"/>
  <c r="N51" i="29"/>
  <c r="M51" i="29"/>
  <c r="J51" i="29"/>
  <c r="N50" i="29"/>
  <c r="M50" i="29"/>
  <c r="J50" i="29"/>
  <c r="N49" i="29"/>
  <c r="M49" i="29"/>
  <c r="J49" i="29"/>
  <c r="N48" i="29"/>
  <c r="M48" i="29"/>
  <c r="J48" i="29"/>
  <c r="N47" i="29"/>
  <c r="M47" i="29"/>
  <c r="L47" i="29"/>
  <c r="J46" i="29"/>
  <c r="K44" i="29"/>
  <c r="N43" i="29"/>
  <c r="M43" i="29"/>
  <c r="J43" i="29"/>
  <c r="B43" i="29"/>
  <c r="N42" i="29"/>
  <c r="M42" i="29"/>
  <c r="J42" i="29"/>
  <c r="B42" i="29"/>
  <c r="N41" i="29"/>
  <c r="M41" i="29"/>
  <c r="J41" i="29"/>
  <c r="B41" i="29"/>
  <c r="N40" i="29"/>
  <c r="M40" i="29"/>
  <c r="J40" i="29"/>
  <c r="B40" i="29"/>
  <c r="N39" i="29"/>
  <c r="M39" i="29"/>
  <c r="L39" i="29"/>
  <c r="J39" i="29"/>
  <c r="B39" i="29"/>
  <c r="N38" i="29"/>
  <c r="M38" i="29"/>
  <c r="L38" i="29"/>
  <c r="J38" i="29"/>
  <c r="B38" i="29"/>
  <c r="N37" i="29"/>
  <c r="M37" i="29"/>
  <c r="N36" i="29"/>
  <c r="M36" i="29"/>
  <c r="L36" i="29"/>
  <c r="J36" i="29"/>
  <c r="B36" i="29"/>
  <c r="N35" i="29"/>
  <c r="M35" i="29"/>
  <c r="L35" i="29"/>
  <c r="J35" i="29"/>
  <c r="B35" i="29"/>
  <c r="N34" i="29"/>
  <c r="M34" i="29"/>
  <c r="L34" i="29"/>
  <c r="J34" i="29"/>
  <c r="B34" i="29"/>
  <c r="N33" i="29"/>
  <c r="M33" i="29"/>
  <c r="N32" i="29"/>
  <c r="M32" i="29"/>
  <c r="J32" i="29"/>
  <c r="B32" i="29"/>
  <c r="N31" i="29"/>
  <c r="M31" i="29"/>
  <c r="J31" i="29"/>
  <c r="B31" i="29"/>
  <c r="N30" i="29"/>
  <c r="M30" i="29"/>
  <c r="J30" i="29"/>
  <c r="B30" i="29"/>
  <c r="N29" i="29"/>
  <c r="M29" i="29"/>
  <c r="J29" i="29"/>
  <c r="B29" i="29"/>
  <c r="N28" i="29"/>
  <c r="M28" i="29"/>
  <c r="J28" i="29"/>
  <c r="B28" i="29"/>
  <c r="N27" i="29"/>
  <c r="M27" i="29"/>
  <c r="J27" i="29"/>
  <c r="B27" i="29"/>
  <c r="K24" i="29"/>
  <c r="N23" i="29"/>
  <c r="M23" i="29"/>
  <c r="L23" i="29"/>
  <c r="J23" i="29"/>
  <c r="N22" i="29"/>
  <c r="M22" i="29"/>
  <c r="L22" i="29"/>
  <c r="J22" i="29"/>
  <c r="J24" i="29" s="1"/>
  <c r="L24" i="29" s="1"/>
  <c r="N21" i="29"/>
  <c r="M21" i="29"/>
  <c r="L21" i="29"/>
  <c r="N20" i="29"/>
  <c r="M20" i="29"/>
  <c r="N19" i="29"/>
  <c r="M19" i="29"/>
  <c r="L19" i="29"/>
  <c r="N18" i="29"/>
  <c r="M18" i="29"/>
  <c r="N17" i="29"/>
  <c r="M17" i="29"/>
  <c r="L17" i="29"/>
  <c r="N16" i="29"/>
  <c r="M16" i="29"/>
  <c r="L16" i="29"/>
  <c r="N15" i="29"/>
  <c r="M15" i="29"/>
  <c r="L15" i="29"/>
  <c r="N14" i="29"/>
  <c r="M14" i="29"/>
  <c r="L14" i="29"/>
  <c r="N13" i="29"/>
  <c r="M13" i="29"/>
  <c r="L13" i="29"/>
  <c r="N12" i="29"/>
  <c r="M12" i="29"/>
  <c r="L12" i="29"/>
  <c r="N11" i="29"/>
  <c r="M11" i="29"/>
  <c r="L11" i="29"/>
  <c r="N10" i="29"/>
  <c r="M10" i="29"/>
  <c r="L10" i="29"/>
  <c r="N9" i="29"/>
  <c r="M9" i="29"/>
  <c r="L9" i="29"/>
  <c r="N8" i="29"/>
  <c r="M8" i="29"/>
  <c r="N7" i="29"/>
  <c r="M7" i="29"/>
  <c r="J6" i="29"/>
  <c r="G2" i="29"/>
  <c r="N24" i="29" l="1"/>
  <c r="N74" i="29"/>
  <c r="N97" i="29"/>
  <c r="L97" i="29"/>
  <c r="M24" i="29"/>
  <c r="R136" i="29"/>
  <c r="M74" i="29"/>
  <c r="M97" i="29"/>
  <c r="M115" i="29"/>
  <c r="N123" i="29"/>
  <c r="J26" i="29"/>
  <c r="M44" i="29"/>
  <c r="M83" i="29"/>
  <c r="N115" i="29"/>
  <c r="J44" i="29"/>
  <c r="N44" i="29"/>
  <c r="N65" i="29"/>
  <c r="J65" i="29"/>
  <c r="K126" i="29"/>
  <c r="J83" i="29"/>
  <c r="L83" i="29" s="1"/>
  <c r="N83" i="29"/>
  <c r="N106" i="29"/>
  <c r="L115" i="29"/>
  <c r="M106" i="29"/>
  <c r="L106" i="29"/>
  <c r="J76" i="29"/>
  <c r="J67" i="29"/>
  <c r="J74" i="29"/>
  <c r="M65" i="29"/>
  <c r="L44" i="29"/>
  <c r="L65" i="29"/>
  <c r="R137" i="29"/>
  <c r="R139" i="29" s="1"/>
  <c r="P3" i="29" s="1"/>
  <c r="B126" i="29"/>
  <c r="J126" i="29" s="1"/>
  <c r="L123" i="29"/>
  <c r="K127" i="29" l="1"/>
  <c r="K129" i="29" s="1"/>
  <c r="K3" i="29" s="1"/>
  <c r="G3" i="29" s="1"/>
  <c r="L74" i="29"/>
  <c r="N126" i="29"/>
  <c r="N3" i="29" s="1"/>
  <c r="M126" i="29"/>
  <c r="M3" i="29" s="1"/>
  <c r="J3" i="29"/>
  <c r="K123" i="27" l="1"/>
  <c r="K128" i="27" s="1"/>
  <c r="J123" i="27"/>
  <c r="AB18" i="27"/>
  <c r="AA18" i="27"/>
  <c r="K115" i="27"/>
  <c r="J115" i="27"/>
  <c r="L112" i="27"/>
  <c r="AB14" i="27"/>
  <c r="AA14" i="27"/>
  <c r="J108" i="27"/>
  <c r="K106" i="27"/>
  <c r="Y13" i="27" s="1"/>
  <c r="L104" i="27"/>
  <c r="J104" i="27"/>
  <c r="J106" i="27" s="1"/>
  <c r="B104" i="27"/>
  <c r="L103" i="27"/>
  <c r="L101" i="27"/>
  <c r="AB13" i="27"/>
  <c r="AA13" i="27"/>
  <c r="J99" i="27"/>
  <c r="K97" i="27"/>
  <c r="J97" i="27"/>
  <c r="J96" i="27"/>
  <c r="J95" i="27"/>
  <c r="J93" i="27"/>
  <c r="B93" i="27"/>
  <c r="J92" i="27"/>
  <c r="B92" i="27"/>
  <c r="J91" i="27"/>
  <c r="B91" i="27"/>
  <c r="J90" i="27"/>
  <c r="B90" i="27"/>
  <c r="J89" i="27"/>
  <c r="L88" i="27"/>
  <c r="J88" i="27"/>
  <c r="J87" i="27"/>
  <c r="AB12" i="27"/>
  <c r="AA12" i="27"/>
  <c r="J86" i="27"/>
  <c r="J85" i="27"/>
  <c r="K83" i="27"/>
  <c r="J82" i="27"/>
  <c r="B82" i="27"/>
  <c r="J81" i="27"/>
  <c r="B81" i="27"/>
  <c r="J76" i="27" s="1"/>
  <c r="J80" i="27"/>
  <c r="J79" i="27"/>
  <c r="J78" i="27"/>
  <c r="AB11" i="27"/>
  <c r="AA11" i="27"/>
  <c r="J77" i="27"/>
  <c r="K74" i="27"/>
  <c r="J73" i="27"/>
  <c r="J72" i="27"/>
  <c r="J71" i="27"/>
  <c r="B71" i="27"/>
  <c r="J70" i="27"/>
  <c r="B70" i="27"/>
  <c r="J69" i="27"/>
  <c r="AB10" i="27"/>
  <c r="AA10" i="27"/>
  <c r="J68" i="27"/>
  <c r="K65" i="27"/>
  <c r="Y9" i="27" s="1"/>
  <c r="J64" i="27"/>
  <c r="J63" i="27"/>
  <c r="L62" i="27"/>
  <c r="J62" i="27"/>
  <c r="L60" i="27"/>
  <c r="J60" i="27"/>
  <c r="L58" i="27"/>
  <c r="J58" i="27"/>
  <c r="L56" i="27"/>
  <c r="J56" i="27"/>
  <c r="J54" i="27"/>
  <c r="J53" i="27"/>
  <c r="J52" i="27"/>
  <c r="J51" i="27"/>
  <c r="J50" i="27"/>
  <c r="J49" i="27"/>
  <c r="J48" i="27"/>
  <c r="AB9" i="27"/>
  <c r="AA9" i="27"/>
  <c r="L47" i="27"/>
  <c r="J46" i="27"/>
  <c r="K44" i="27"/>
  <c r="J43" i="27"/>
  <c r="B43" i="27"/>
  <c r="J42" i="27"/>
  <c r="B42" i="27"/>
  <c r="J41" i="27"/>
  <c r="B41" i="27"/>
  <c r="J40" i="27"/>
  <c r="B40" i="27"/>
  <c r="L39" i="27"/>
  <c r="J39" i="27"/>
  <c r="B39" i="27"/>
  <c r="L38" i="27"/>
  <c r="J38" i="27"/>
  <c r="B38" i="27"/>
  <c r="L36" i="27"/>
  <c r="J36" i="27"/>
  <c r="B36" i="27"/>
  <c r="L35" i="27"/>
  <c r="J35" i="27"/>
  <c r="B35" i="27"/>
  <c r="L34" i="27"/>
  <c r="J34" i="27"/>
  <c r="B34" i="27"/>
  <c r="J32" i="27"/>
  <c r="B32" i="27"/>
  <c r="J31" i="27"/>
  <c r="B31" i="27"/>
  <c r="J30" i="27"/>
  <c r="B30" i="27"/>
  <c r="J29" i="27"/>
  <c r="B29" i="27"/>
  <c r="J28" i="27"/>
  <c r="B28" i="27"/>
  <c r="AB8" i="27"/>
  <c r="AA8" i="27"/>
  <c r="J27" i="27"/>
  <c r="B27" i="27"/>
  <c r="K24" i="27"/>
  <c r="Y7" i="27" s="1"/>
  <c r="L23" i="27"/>
  <c r="J23" i="27"/>
  <c r="L22" i="27"/>
  <c r="J22" i="27"/>
  <c r="J24" i="27" s="1"/>
  <c r="L21" i="27"/>
  <c r="L19" i="27"/>
  <c r="L17" i="27"/>
  <c r="L16" i="27"/>
  <c r="L15" i="27"/>
  <c r="Y14" i="27"/>
  <c r="X14" i="27"/>
  <c r="L14" i="27"/>
  <c r="L13" i="27"/>
  <c r="Y12" i="27"/>
  <c r="X12" i="27"/>
  <c r="L12" i="27"/>
  <c r="Y11" i="27"/>
  <c r="L11" i="27"/>
  <c r="Y10" i="27"/>
  <c r="L10" i="27"/>
  <c r="L9" i="27"/>
  <c r="Y8" i="27"/>
  <c r="AB7" i="27"/>
  <c r="AA7" i="27"/>
  <c r="J6" i="27"/>
  <c r="G2" i="27"/>
  <c r="J67" i="27" l="1"/>
  <c r="Y15" i="27"/>
  <c r="K126" i="27" s="1"/>
  <c r="J44" i="27"/>
  <c r="X8" i="27" s="1"/>
  <c r="J65" i="27"/>
  <c r="L65" i="27" s="1"/>
  <c r="B126" i="27"/>
  <c r="J126" i="27" s="1"/>
  <c r="J3" i="27" s="1"/>
  <c r="J74" i="27"/>
  <c r="J83" i="27"/>
  <c r="X11" i="27" s="1"/>
  <c r="L115" i="27"/>
  <c r="J26" i="27"/>
  <c r="L97" i="27"/>
  <c r="L123" i="27"/>
  <c r="L44" i="27"/>
  <c r="L24" i="27"/>
  <c r="AA15" i="27"/>
  <c r="L74" i="27"/>
  <c r="X10" i="27"/>
  <c r="X9" i="27"/>
  <c r="AB15" i="27"/>
  <c r="X13" i="27"/>
  <c r="L106" i="27"/>
  <c r="K127" i="27" l="1"/>
  <c r="K129" i="27" s="1"/>
  <c r="K3" i="27" s="1"/>
  <c r="G3" i="27" s="1"/>
  <c r="W16" i="27"/>
  <c r="L83" i="27"/>
  <c r="AB17" i="27"/>
  <c r="AB19" i="27" s="1"/>
  <c r="AA17" i="27"/>
  <c r="AA19" i="27" s="1"/>
  <c r="C20" i="16" l="1"/>
</calcChain>
</file>

<file path=xl/comments1.xml><?xml version="1.0" encoding="utf-8"?>
<comments xmlns="http://schemas.openxmlformats.org/spreadsheetml/2006/main">
  <authors>
    <author>Karl Desai</author>
    <author>Ulises Demeneghi Cervantes</author>
  </authors>
  <commentList>
    <comment ref="K127" authorId="0" shapeId="0">
      <text>
        <r>
          <rPr>
            <sz val="11"/>
            <color indexed="81"/>
            <rFont val="Arial"/>
            <family val="2"/>
          </rPr>
          <t xml:space="preserve">This is the number of points targeted divided by the number of points available. </t>
        </r>
      </text>
    </comment>
    <comment ref="K129" authorId="0" shapeId="0">
      <text>
        <r>
          <rPr>
            <sz val="11"/>
            <color indexed="81"/>
            <rFont val="Tahoma"/>
            <family val="2"/>
          </rPr>
          <t>This is the core score plus the Innovation points targeted. See the Submission Guidelines for additional detail.</t>
        </r>
        <r>
          <rPr>
            <sz val="8"/>
            <color indexed="81"/>
            <rFont val="Tahoma"/>
            <family val="2"/>
          </rPr>
          <t xml:space="preserve">
</t>
        </r>
      </text>
    </comment>
    <comment ref="O136" authorId="1" shapeId="0">
      <text>
        <r>
          <rPr>
            <b/>
            <sz val="10"/>
            <color indexed="81"/>
            <rFont val="Tahoma"/>
            <family val="2"/>
          </rPr>
          <t xml:space="preserve">Ulises Demeneghi: Changed interval to exclude innovation points
</t>
        </r>
      </text>
    </comment>
    <comment ref="O137" authorId="1" shapeId="0">
      <text>
        <r>
          <rPr>
            <b/>
            <sz val="10"/>
            <color indexed="81"/>
            <rFont val="Tahoma"/>
            <family val="2"/>
          </rPr>
          <t xml:space="preserve">Ulises Demeneghi: Changed interval to exclude innovation points
</t>
        </r>
      </text>
    </comment>
    <comment ref="O138" authorId="1" shapeId="0">
      <text>
        <r>
          <rPr>
            <b/>
            <sz val="10"/>
            <color indexed="81"/>
            <rFont val="Tahoma"/>
            <family val="2"/>
          </rPr>
          <t xml:space="preserve">Ulises Demeneghi: Changed interval to exclude innovation points
</t>
        </r>
      </text>
    </comment>
    <comment ref="Q138" authorId="1" shapeId="0">
      <text>
        <r>
          <rPr>
            <b/>
            <sz val="10"/>
            <color indexed="81"/>
            <rFont val="Tahoma"/>
            <family val="2"/>
          </rPr>
          <t xml:space="preserve">Ulises Demeneghi: Changed interval to exclude innovation points
</t>
        </r>
      </text>
    </comment>
    <comment ref="R139" authorId="1" shapeId="0">
      <text>
        <r>
          <rPr>
            <b/>
            <sz val="10"/>
            <color indexed="81"/>
            <rFont val="Tahoma"/>
            <family val="2"/>
          </rPr>
          <t xml:space="preserve">Ulises Demeneghi </t>
        </r>
        <r>
          <rPr>
            <sz val="10"/>
            <color indexed="81"/>
            <rFont val="Tahoma"/>
            <family val="2"/>
          </rPr>
          <t xml:space="preserve">
Corrected formula according to the one in Interiors</t>
        </r>
      </text>
    </comment>
  </commentList>
</comments>
</file>

<file path=xl/comments2.xml><?xml version="1.0" encoding="utf-8"?>
<comments xmlns="http://schemas.openxmlformats.org/spreadsheetml/2006/main">
  <authors>
    <author>Karl Desai</author>
    <author>Ulises Demeneghi Cervantes</author>
  </authors>
  <commentList>
    <comment ref="K127" authorId="0" shapeId="0">
      <text>
        <r>
          <rPr>
            <sz val="11"/>
            <color indexed="81"/>
            <rFont val="Arial"/>
            <family val="2"/>
          </rPr>
          <t xml:space="preserve">This is the number of points targeted divided by the number of points available. </t>
        </r>
      </text>
    </comment>
    <comment ref="K129" authorId="0" shapeId="0">
      <text>
        <r>
          <rPr>
            <sz val="11"/>
            <color indexed="81"/>
            <rFont val="Tahoma"/>
            <family val="2"/>
          </rPr>
          <t>This is the core score plus the Innovation points targeted. See the Submission Guidelines for additional detail.</t>
        </r>
        <r>
          <rPr>
            <sz val="8"/>
            <color indexed="81"/>
            <rFont val="Tahoma"/>
            <family val="2"/>
          </rPr>
          <t xml:space="preserve">
</t>
        </r>
      </text>
    </comment>
    <comment ref="O136" authorId="1" shapeId="0">
      <text>
        <r>
          <rPr>
            <b/>
            <sz val="10"/>
            <color indexed="81"/>
            <rFont val="Tahoma"/>
            <family val="2"/>
          </rPr>
          <t xml:space="preserve">Ulises Demeneghi: Changed interval to exclude innovation points
</t>
        </r>
      </text>
    </comment>
    <comment ref="O137" authorId="1" shapeId="0">
      <text>
        <r>
          <rPr>
            <b/>
            <sz val="10"/>
            <color indexed="81"/>
            <rFont val="Tahoma"/>
            <family val="2"/>
          </rPr>
          <t xml:space="preserve">Ulises Demeneghi: Changed interval to exclude innovation points
</t>
        </r>
      </text>
    </comment>
    <comment ref="O138" authorId="1" shapeId="0">
      <text>
        <r>
          <rPr>
            <b/>
            <sz val="10"/>
            <color indexed="81"/>
            <rFont val="Tahoma"/>
            <family val="2"/>
          </rPr>
          <t xml:space="preserve">Ulises Demeneghi: Changed interval to exclude innovation points
</t>
        </r>
      </text>
    </comment>
    <comment ref="Q138" authorId="1" shapeId="0">
      <text>
        <r>
          <rPr>
            <b/>
            <sz val="10"/>
            <color indexed="81"/>
            <rFont val="Tahoma"/>
            <family val="2"/>
          </rPr>
          <t xml:space="preserve">Ulises Demeneghi: Changed interval to exclude innovation points
</t>
        </r>
      </text>
    </comment>
    <comment ref="R139" authorId="1" shapeId="0">
      <text>
        <r>
          <rPr>
            <b/>
            <sz val="10"/>
            <color indexed="81"/>
            <rFont val="Tahoma"/>
            <family val="2"/>
          </rPr>
          <t xml:space="preserve">Ulises Demeneghi </t>
        </r>
        <r>
          <rPr>
            <sz val="10"/>
            <color indexed="81"/>
            <rFont val="Tahoma"/>
            <family val="2"/>
          </rPr>
          <t xml:space="preserve">
Corrected formula according to the one in Interiors</t>
        </r>
      </text>
    </comment>
  </commentList>
</comments>
</file>

<file path=xl/comments3.xml><?xml version="1.0" encoding="utf-8"?>
<comments xmlns="http://schemas.openxmlformats.org/spreadsheetml/2006/main">
  <authors>
    <author>Karl Desai</author>
  </authors>
  <commentList>
    <comment ref="K127" authorId="0" shapeId="0">
      <text>
        <r>
          <rPr>
            <sz val="11"/>
            <color indexed="81"/>
            <rFont val="Arial"/>
            <family val="2"/>
          </rPr>
          <t xml:space="preserve">This is the number of points targeted divided by the number of points available. </t>
        </r>
      </text>
    </comment>
    <comment ref="K129" authorId="0" shapeId="0">
      <text>
        <r>
          <rPr>
            <sz val="11"/>
            <color indexed="81"/>
            <rFont val="Tahoma"/>
            <family val="2"/>
          </rPr>
          <t>This is the core score plus the Innovation points targeted. See the Submission Guidelines for additional detail.</t>
        </r>
        <r>
          <rPr>
            <sz val="8"/>
            <color indexed="81"/>
            <rFont val="Tahoma"/>
            <family val="2"/>
          </rPr>
          <t xml:space="preserve">
</t>
        </r>
      </text>
    </comment>
  </commentList>
</comments>
</file>

<file path=xl/sharedStrings.xml><?xml version="1.0" encoding="utf-8"?>
<sst xmlns="http://schemas.openxmlformats.org/spreadsheetml/2006/main" count="1028" uniqueCount="339">
  <si>
    <t>Management</t>
  </si>
  <si>
    <t>Indoor Environment Quality</t>
  </si>
  <si>
    <t>Energy</t>
  </si>
  <si>
    <t>Transport</t>
  </si>
  <si>
    <t>Water</t>
  </si>
  <si>
    <t>Materials</t>
  </si>
  <si>
    <t>Emissions</t>
  </si>
  <si>
    <t>Lighting Comfort</t>
  </si>
  <si>
    <t>Acoustic Comfort</t>
  </si>
  <si>
    <t>Thermal Comfort</t>
  </si>
  <si>
    <t>Potable Water</t>
  </si>
  <si>
    <t>Land Use &amp; Ecology</t>
  </si>
  <si>
    <t>Ecological Value</t>
  </si>
  <si>
    <t>Stormwater</t>
  </si>
  <si>
    <t>Light Pollution</t>
  </si>
  <si>
    <t>CATEGORY / CREDIT</t>
  </si>
  <si>
    <t>CREDIT CRITERIA</t>
  </si>
  <si>
    <t>POINTS TARGETED</t>
  </si>
  <si>
    <t>Innovation</t>
  </si>
  <si>
    <t>Green Star Accredited Professional</t>
  </si>
  <si>
    <t>Commissioning and Tuning</t>
  </si>
  <si>
    <t>Visual Comfort</t>
  </si>
  <si>
    <t>Accredited Professional</t>
  </si>
  <si>
    <t>Services and Maintainability Review</t>
  </si>
  <si>
    <t>Building Commissioning</t>
  </si>
  <si>
    <t>Building Systems Tuning</t>
  </si>
  <si>
    <t>Independent Commissioning Agent</t>
  </si>
  <si>
    <t>Building Operations and Maintenance Information</t>
  </si>
  <si>
    <t>Building User Information</t>
  </si>
  <si>
    <t>Environmental Management Plan</t>
  </si>
  <si>
    <t>Implementation of a Climate Adaptation Plan</t>
  </si>
  <si>
    <t>Ventilation System Attributes</t>
  </si>
  <si>
    <t>General Illuminance and Glare Reduction</t>
  </si>
  <si>
    <t>Glare Reduction</t>
  </si>
  <si>
    <t>Daylight</t>
  </si>
  <si>
    <t>Views</t>
  </si>
  <si>
    <t>Conditional Requirement</t>
  </si>
  <si>
    <t>Access by Public Transport</t>
  </si>
  <si>
    <t>Reduced Car Parking Provision</t>
  </si>
  <si>
    <t>Low Emission Vehicle Infrastructure</t>
  </si>
  <si>
    <t>Active Transport Facilities</t>
  </si>
  <si>
    <t>Comparative Life Cycle Assessment</t>
  </si>
  <si>
    <t>Additional Life Cycle Impact Reporting</t>
  </si>
  <si>
    <t>Minimum Lighting Comfort</t>
  </si>
  <si>
    <t>NatHERS Pathway</t>
  </si>
  <si>
    <t>Sustainable Sites</t>
  </si>
  <si>
    <t>Endangered, Threatened or Vulnerable Species</t>
  </si>
  <si>
    <t>Heat Island Effect Reduction</t>
  </si>
  <si>
    <t>Microbial Control</t>
  </si>
  <si>
    <t>Refrigerant Impacts</t>
  </si>
  <si>
    <t>Internal Noise Levels</t>
  </si>
  <si>
    <t>Advanced Thermal Comfort</t>
  </si>
  <si>
    <t>Reverberation</t>
  </si>
  <si>
    <t>Adaptation and Resilience</t>
  </si>
  <si>
    <t>Construction Environmental Management</t>
  </si>
  <si>
    <t>Building Information</t>
  </si>
  <si>
    <t>Metering and Monitoring</t>
  </si>
  <si>
    <t>To recognise the development and provision of building information that facilitates understanding of a building's systems, operation and maintenance requirements, and environmental targets to enable the optimised performance.</t>
  </si>
  <si>
    <t>Commitment to Performance</t>
  </si>
  <si>
    <t>To encourage and recognise projects that are resilient to the impacts of a changing climate and natural disasters.</t>
  </si>
  <si>
    <t>Operational Waste</t>
  </si>
  <si>
    <t>OUTCOME</t>
  </si>
  <si>
    <t>Surface Illuminance</t>
  </si>
  <si>
    <t>Sustainable Products</t>
  </si>
  <si>
    <t>Reuse of Land</t>
  </si>
  <si>
    <t>AIM OF THE CREDIT / SELECTION</t>
  </si>
  <si>
    <t>To encourage and recognise commissioning, handover and tuning initiatives that ensure all building services operate to their full potential.</t>
  </si>
  <si>
    <t>To recognise practices that encourage building owners, building occupants and facilities management teams to set targets and monitor environmental performance in a collaborative way.</t>
  </si>
  <si>
    <t>To recognise the implementation of effective energy and water metering and monitoring systems.</t>
  </si>
  <si>
    <t>To recognise the appointment and active involvement of a Green Star Accredited Professional in order to ensure that the rating tool is applied effectively and as intended.</t>
  </si>
  <si>
    <t>Total</t>
  </si>
  <si>
    <t>x</t>
  </si>
  <si>
    <t>POINTS AVAILABLE</t>
  </si>
  <si>
    <t xml:space="preserve">Building Input </t>
  </si>
  <si>
    <t>NSW</t>
  </si>
  <si>
    <t>Name of Building:</t>
  </si>
  <si>
    <t>ACT</t>
  </si>
  <si>
    <t>Address of Building:</t>
  </si>
  <si>
    <t>NT</t>
  </si>
  <si>
    <t>QLD</t>
  </si>
  <si>
    <t>SA</t>
  </si>
  <si>
    <t>Postcode:</t>
  </si>
  <si>
    <t>TAS</t>
  </si>
  <si>
    <t>State:</t>
  </si>
  <si>
    <t>VIC</t>
  </si>
  <si>
    <t>WA</t>
  </si>
  <si>
    <t>Applicant Details</t>
  </si>
  <si>
    <t>Applicant:</t>
  </si>
  <si>
    <t>Contact Person:</t>
  </si>
  <si>
    <t>Building Description</t>
  </si>
  <si>
    <t>Description of building</t>
  </si>
  <si>
    <t>Green Star - Design &amp; As Built Scorecard</t>
  </si>
  <si>
    <t>Project:</t>
  </si>
  <si>
    <t>CODE</t>
  </si>
  <si>
    <t>Greenhouse Gas Emissions</t>
  </si>
  <si>
    <t>Peak Electricity Demand Reduction</t>
  </si>
  <si>
    <t>Conditional Requirement: NatHERS Pathway</t>
  </si>
  <si>
    <t>Conditional Requirement: Prescriptive Pathway</t>
  </si>
  <si>
    <t>-</t>
  </si>
  <si>
    <t>To recognise projects that provide high air quality to occupants.</t>
  </si>
  <si>
    <t>To reward projects that provide appropriate and comfortable acoustic conditions for occupants.</t>
  </si>
  <si>
    <t>To encourage and recognise well-lit spaces that provide a high degree of comfort to users.</t>
  </si>
  <si>
    <t>To recognise the delivery of well-lit spaces that provide high levels of visual comfort to building occupants.</t>
  </si>
  <si>
    <t>To recognise projects that safeguard occupant health through the reduction in internal air pollutant levels.</t>
  </si>
  <si>
    <t>To encourage and recognise projects that achieve high levels of thermal comfort.</t>
  </si>
  <si>
    <t>Total Points Awarded</t>
  </si>
  <si>
    <t>Project Team Details</t>
  </si>
  <si>
    <t>Architect</t>
  </si>
  <si>
    <t>Acoustic Consultant</t>
  </si>
  <si>
    <t>Building Services Engineer</t>
  </si>
  <si>
    <t>Building Surveyor</t>
  </si>
  <si>
    <t>ESD Consultant</t>
  </si>
  <si>
    <t>Landscaping Consultant</t>
  </si>
  <si>
    <t>Local Planning Authority</t>
  </si>
  <si>
    <t>Main Contractor</t>
  </si>
  <si>
    <t>Project Manager</t>
  </si>
  <si>
    <t>Quantity Surveyor</t>
  </si>
  <si>
    <t>Structural/Civil Engineer</t>
  </si>
  <si>
    <t>Company/Organisation</t>
  </si>
  <si>
    <t>Complies</t>
  </si>
  <si>
    <t>Does not comply</t>
  </si>
  <si>
    <t>Sustainable Transport</t>
  </si>
  <si>
    <t>Performance Pathway</t>
  </si>
  <si>
    <t>Sanitary Fixture Efficiency</t>
  </si>
  <si>
    <t>Rainwater Reuse</t>
  </si>
  <si>
    <t>Heat Rejection</t>
  </si>
  <si>
    <t>Landscape Irrigation</t>
  </si>
  <si>
    <t>Fire System Test Water</t>
  </si>
  <si>
    <t>Heat Island Effect</t>
  </si>
  <si>
    <t>To reward projects that improve the ecological value of their site.</t>
  </si>
  <si>
    <t>To reward projects that choose to develop sites that have limited ecological value, re-use previously developed land and remediate contaminate land.</t>
  </si>
  <si>
    <t>To encourage and recognise projects that reduce the contribution of the project site to the heat island effect.</t>
  </si>
  <si>
    <t>Light Pollution to Night Sky</t>
  </si>
  <si>
    <t>To reward projects that minimise peak stormwater flows and reduce pollutants entering public sewer infrastructure.</t>
  </si>
  <si>
    <t>To reward projects that minimise light pollution.</t>
  </si>
  <si>
    <t>To recognise projects that implement systems to minimise the impacts associated with harmful microbes in building systems.</t>
  </si>
  <si>
    <t>To encourage operational practices that minimise the environmental impacts of refrigeration equipment.</t>
  </si>
  <si>
    <t>Innovative Technology or Process</t>
  </si>
  <si>
    <t>Market Transformation</t>
  </si>
  <si>
    <t>Improving on Green Star Benchmarks</t>
  </si>
  <si>
    <t>Innovation Challenge</t>
  </si>
  <si>
    <t>Global Sustainability</t>
  </si>
  <si>
    <t>The project meets the aims of an existing credit using a technology or process that is considered innovative in Australia or the world.</t>
  </si>
  <si>
    <t>The project has undertaken a sustainability initiative that substantially contributes to the broader market transformation towards sustainable development in Australia or in the world.</t>
  </si>
  <si>
    <t>The project has achieved full points in a Green Star credit and demonstrates a substantial improvement on the benchmark required to achieve full points.</t>
  </si>
  <si>
    <t>Where the project addresses an sustainability issue not included within any of the Credits in the existing Green Star rating tools.</t>
  </si>
  <si>
    <t>Project teams may adopt an approved credit from a Global Green Building Rating tool that addresses a sustainability issue that is currently outside the scope of this Green Star rating tools.</t>
  </si>
  <si>
    <t>Responsible Building Materials</t>
  </si>
  <si>
    <t>Life Cycle Impacts</t>
  </si>
  <si>
    <t xml:space="preserve">To encourage sustainability and transparency in product specification. </t>
  </si>
  <si>
    <t xml:space="preserve">To reward projects that include materials that are responsibly sourced or have a sustainable supply chain. </t>
  </si>
  <si>
    <t xml:space="preserve"> POINTS AWARDED</t>
  </si>
  <si>
    <t xml:space="preserve"> ASSESSMENT COMMENTS</t>
  </si>
  <si>
    <t>Targeted Rating:</t>
  </si>
  <si>
    <t>Total Points TBC</t>
  </si>
  <si>
    <t xml:space="preserve"> POINTS 
TBC</t>
  </si>
  <si>
    <t>Important Notes</t>
  </si>
  <si>
    <t>To reward projects that use best practice formal environmental management procedures during construction.</t>
  </si>
  <si>
    <t>Formalised Environmental Management System</t>
  </si>
  <si>
    <t>Concrete</t>
  </si>
  <si>
    <t>Steel</t>
  </si>
  <si>
    <t>Building Reuse</t>
  </si>
  <si>
    <t>Instructions</t>
  </si>
  <si>
    <t>Exhaust or Elimination of Pollutants</t>
  </si>
  <si>
    <t>Construction and Demolition Waste</t>
  </si>
  <si>
    <t>Area Listing (GFA in m²)</t>
  </si>
  <si>
    <t>Office</t>
  </si>
  <si>
    <t>Residential</t>
  </si>
  <si>
    <t>Retail</t>
  </si>
  <si>
    <t>Healthcare</t>
  </si>
  <si>
    <t>Industrial</t>
  </si>
  <si>
    <t>Education</t>
  </si>
  <si>
    <t>Other</t>
  </si>
  <si>
    <t>NA</t>
  </si>
  <si>
    <t>Category</t>
  </si>
  <si>
    <t>Land Use and Ecology</t>
  </si>
  <si>
    <t>Fixed Total</t>
  </si>
  <si>
    <t>Variable Total</t>
  </si>
  <si>
    <t>Points Claimed</t>
  </si>
  <si>
    <t>Total  Points</t>
  </si>
  <si>
    <t>Paints, Adhesives, Sealants and Carpets</t>
  </si>
  <si>
    <t>Engineered Wood Products</t>
  </si>
  <si>
    <t>Walkable Neighbourhoods</t>
  </si>
  <si>
    <t>Refrigerants Impacts</t>
  </si>
  <si>
    <t>Environmental Performance Targets</t>
  </si>
  <si>
    <t>Environmental Building Performance</t>
  </si>
  <si>
    <t>End of Life Waste Performance</t>
  </si>
  <si>
    <t>Provision of Outdoor Air</t>
  </si>
  <si>
    <t>Localised Lighting Control</t>
  </si>
  <si>
    <t>A. Prescriptive Pathway</t>
  </si>
  <si>
    <t xml:space="preserve">B. NatHERS Pathway </t>
  </si>
  <si>
    <t>Building Envelope</t>
  </si>
  <si>
    <t>Glazing</t>
  </si>
  <si>
    <t>Lighting</t>
  </si>
  <si>
    <t>Building Sealing</t>
  </si>
  <si>
    <t>Domestic Hot Water Systems</t>
  </si>
  <si>
    <t>Conditional Requirement: NABERS Pathway</t>
  </si>
  <si>
    <t>NABERS Energy Commitment Agreement Pathway</t>
  </si>
  <si>
    <t>Prescriptive Pathway</t>
  </si>
  <si>
    <t>Contamination and Hazardous Materials</t>
  </si>
  <si>
    <t>Reduced Pollution Targets</t>
  </si>
  <si>
    <t>Light Pollution to Neighbouring Bodies</t>
  </si>
  <si>
    <t>Legionella Impacts from Cooling Systems</t>
  </si>
  <si>
    <t>AVAILABLE</t>
  </si>
  <si>
    <t>TARGETED</t>
  </si>
  <si>
    <t>Points Awarded</t>
  </si>
  <si>
    <t>Points TBC</t>
  </si>
  <si>
    <t>TOTALS</t>
  </si>
  <si>
    <t>INNOVATION POINTS</t>
  </si>
  <si>
    <t>AWARDED</t>
  </si>
  <si>
    <t>TBC</t>
  </si>
  <si>
    <t>Points Available</t>
  </si>
  <si>
    <t>NA Points</t>
  </si>
  <si>
    <t>NA - T/F</t>
  </si>
  <si>
    <t>TOTAL NA POINTS</t>
  </si>
  <si>
    <t>CORE POINTS</t>
  </si>
  <si>
    <t>TOTAL SCORE TARGETED</t>
  </si>
  <si>
    <t>Core Points Available</t>
  </si>
  <si>
    <t xml:space="preserve">Total Score Targeted </t>
  </si>
  <si>
    <t>Indoor Pollutants</t>
  </si>
  <si>
    <t>CATEGORY PERCENTAGE SCORE</t>
  </si>
  <si>
    <t>Disclaimer, Authorisation and Acknowledgment</t>
  </si>
  <si>
    <t xml:space="preserve">Please ensure that you use the most up to date version of Green Star scorecards. They are routinely updated, and using the most current version will make filling in your scorecard easier, clearer and accurate.
This scorecard provides an indication to the number of points available in the rating tool. It is not final, and it is only intended for feedback purposes. </t>
  </si>
  <si>
    <t>Summary of Changes</t>
  </si>
  <si>
    <t>Scorecard Release</t>
  </si>
  <si>
    <t>Release 1 - 16/10/2014</t>
  </si>
  <si>
    <t>ASSIGNED STAGE</t>
  </si>
  <si>
    <t>ASSESSOR COMPLETED STAGE</t>
  </si>
  <si>
    <t>Stage 1</t>
  </si>
  <si>
    <t>Stage 2</t>
  </si>
  <si>
    <t>Stage 3</t>
  </si>
  <si>
    <t>Core</t>
  </si>
  <si>
    <t>Awarded - Minor non-compliance</t>
  </si>
  <si>
    <t>Awarded - Compliant</t>
  </si>
  <si>
    <t>15A.0</t>
  </si>
  <si>
    <t>15A.1</t>
  </si>
  <si>
    <t>15A.2</t>
  </si>
  <si>
    <t>15A.3</t>
  </si>
  <si>
    <t>15A.4</t>
  </si>
  <si>
    <t>15A.5</t>
  </si>
  <si>
    <t>15A.6</t>
  </si>
  <si>
    <t>15B.0</t>
  </si>
  <si>
    <t>15B.1</t>
  </si>
  <si>
    <t>15C.0</t>
  </si>
  <si>
    <t>15C.1</t>
  </si>
  <si>
    <t>15D.0</t>
  </si>
  <si>
    <t>15D.1</t>
  </si>
  <si>
    <t>16A</t>
  </si>
  <si>
    <t>16B</t>
  </si>
  <si>
    <t>17A.1</t>
  </si>
  <si>
    <t>17B.1</t>
  </si>
  <si>
    <t>17B.2</t>
  </si>
  <si>
    <t>17B.3</t>
  </si>
  <si>
    <t>17B.4</t>
  </si>
  <si>
    <t>17B.5</t>
  </si>
  <si>
    <t>18A.1</t>
  </si>
  <si>
    <t>18B.1</t>
  </si>
  <si>
    <t>18B.2</t>
  </si>
  <si>
    <t>18B.3</t>
  </si>
  <si>
    <t>18B.4</t>
  </si>
  <si>
    <t>18B.5</t>
  </si>
  <si>
    <t>19B.1</t>
  </si>
  <si>
    <t>19B.2</t>
  </si>
  <si>
    <t>19B.3</t>
  </si>
  <si>
    <t>30A</t>
  </si>
  <si>
    <t>30B</t>
  </si>
  <si>
    <t>30C</t>
  </si>
  <si>
    <t>30D</t>
  </si>
  <si>
    <t>30E</t>
  </si>
  <si>
    <t>Not Awarded - Major non-compliance</t>
  </si>
  <si>
    <t>19A.1</t>
  </si>
  <si>
    <t>19A.2</t>
  </si>
  <si>
    <t>Stage Count</t>
  </si>
  <si>
    <t>Assessor Stage Count</t>
  </si>
  <si>
    <t>Outcome Count</t>
  </si>
  <si>
    <t>Assessment result</t>
  </si>
  <si>
    <t>8A</t>
  </si>
  <si>
    <t>8B</t>
  </si>
  <si>
    <t>Performance Pathway - Specialist Plan</t>
  </si>
  <si>
    <t>Prescriptive Pathway - Facilities</t>
  </si>
  <si>
    <t>Performance Pathway - Life Cycle Assessment</t>
  </si>
  <si>
    <t>C. BASIX Pathway</t>
  </si>
  <si>
    <t>E. Modelled Performance Pathway</t>
  </si>
  <si>
    <t>D. NABERS Pathway</t>
  </si>
  <si>
    <t>Conditional Requirement: BASIX Pathway</t>
  </si>
  <si>
    <t>15E.1</t>
  </si>
  <si>
    <t>15E.0</t>
  </si>
  <si>
    <t>Comparison to a Reference Building Pathway</t>
  </si>
  <si>
    <t>BASIX Pathway</t>
  </si>
  <si>
    <t>15A.7</t>
  </si>
  <si>
    <t>Accredited GreenPower</t>
  </si>
  <si>
    <t>Prescriptive Pathway - On-site Energy Generation</t>
  </si>
  <si>
    <t>Performance Pathway - Reference Building</t>
  </si>
  <si>
    <t>Potable Water - Performance Pathway</t>
  </si>
  <si>
    <t>Prescriptive Pathway - Life Cycle Impacts</t>
  </si>
  <si>
    <t>Reduced Peak Discharge</t>
  </si>
  <si>
    <t>Total Points Available</t>
  </si>
  <si>
    <t>Total Score</t>
  </si>
  <si>
    <t>Total Final Score</t>
  </si>
  <si>
    <t>Metering</t>
  </si>
  <si>
    <t>Monitoring Systems</t>
  </si>
  <si>
    <t>Indoor Air Quality</t>
  </si>
  <si>
    <t>Ventilation and Air-conditioning</t>
  </si>
  <si>
    <t>Conditional Requirement: Reference Building Pathway</t>
  </si>
  <si>
    <t>Structural and Reinforcing Steel</t>
  </si>
  <si>
    <t>Timber Products</t>
  </si>
  <si>
    <t>Permanent Formwork, Pipes, Flooring, Blinds and Cables</t>
  </si>
  <si>
    <t>Product Transparency and Sustainability</t>
  </si>
  <si>
    <t>Acoustic Separation</t>
  </si>
  <si>
    <t>Weight score i.e. accounting for N/As.</t>
  </si>
  <si>
    <t>Final score i.e. weighted score + Innovation</t>
  </si>
  <si>
    <t>Fixed Benchmark</t>
  </si>
  <si>
    <t>Percentage Benchmark</t>
  </si>
  <si>
    <t>22A</t>
  </si>
  <si>
    <t>22B</t>
  </si>
  <si>
    <t>Submission Planner</t>
  </si>
  <si>
    <t xml:space="preserve">The 'Submission Planner' worksheet has been provided to enable project teams to develop a strategy for their project's Green Star - Design &amp; As Built submission. Unlike the Scorecard sheet, the 'Submission Planner' sheet has intentionally been made editable so that project teams can edit the list of credits/criterion as desired e.g. add columns, prepare notes, track progress etc. </t>
  </si>
  <si>
    <t xml:space="preserve">Use the tabs at the bottom of the worksheets to navigate. 
     1. Fill in the 'Building Input Sheet', including general information about the project.
     2. Ensure to fill out the appropriate scorecard based on the phase of the project (either Design or As Built).
     3. Fill in the targeted points in the ‘Points Targeted’ column.
     4. Conditional Requirements in the 'Greenhouse Gas Emissions' and 'Sustainable Sites' credits, and the minimum requirements in other credits, are required to be selected as 'Complies'.
    5. Credits which have multiple compliance pathways are listed below. Pathways for these credits need to be selected in order to unlock the associated criteria.  
Credits which have alternative compliance pathways:      
• Operational Waste
• Greenhouse Gas Emissions
• Peak Electricity Demand Reduction
• Sustainable Transport
• Potable Water
• Life Cycle Impacts
• Construction and Demolition Waste
</t>
  </si>
  <si>
    <r>
      <rPr>
        <b/>
        <sz val="11"/>
        <color rgb="FF000000"/>
        <rFont val="Arial"/>
        <family val="2"/>
        <scheme val="minor"/>
      </rPr>
      <t xml:space="preserve">
</t>
    </r>
    <r>
      <rPr>
        <sz val="11"/>
        <color rgb="FF000000"/>
        <rFont val="Arial"/>
        <family val="2"/>
        <scheme val="minor"/>
      </rPr>
      <t xml:space="preserve">• Please complete all cells in WHITE only. All other cells are to be completed by the GBCA and its representatives.   
• As stated in the Submission Guidelines, some criteria will be considered 'Not Applicable' for certain projects. These credits have a check box in the 'NA' column of the Scorecard. Criteria should only be selected as 'N/A' where </t>
    </r>
    <r>
      <rPr>
        <u/>
        <sz val="11"/>
        <color rgb="FF000000"/>
        <rFont val="Arial"/>
        <family val="2"/>
        <scheme val="minor"/>
      </rPr>
      <t>approval has been sought by the GBCA</t>
    </r>
    <r>
      <rPr>
        <sz val="11"/>
        <color rgb="FF000000"/>
        <rFont val="Arial"/>
        <family val="2"/>
        <scheme val="minor"/>
      </rPr>
      <t xml:space="preserve">. If a criteria is approved as 'Not Applicable', please select the relevant tick box under the 'NA' column. This will affect the total number of points available and the project's final score. 
• Some credits contain multiple pathways. In these cases project teams are required to select the pathway they have chosen to follow, in doing so the relevant criteria for that pathway will be ‘unlocked’ within the spreadsheet.
• The total number of points within each category are indicated in the headings row at the top of the category. The number of points able to be targeted by the project is dependent on the relevant pathways selected by the project team. The numbers of points able to be targeted are shown in the totals row at the bottom of the category.
</t>
    </r>
    <r>
      <rPr>
        <b/>
        <sz val="11"/>
        <color rgb="FF000000"/>
        <rFont val="Arial"/>
        <family val="2"/>
        <scheme val="minor"/>
      </rPr>
      <t xml:space="preserve">
EXAMPLE:</t>
    </r>
    <r>
      <rPr>
        <sz val="11"/>
        <color rgb="FF000000"/>
        <rFont val="Arial"/>
        <family val="2"/>
        <scheme val="minor"/>
      </rPr>
      <t xml:space="preserve"> there are 22 points available in the Energy category. A maximum of 20 points are available for the ‘Greenhouse Gas Emissions’ credit and a maximum of 2 points are available for the ‘Peak Electricity Demand Reduction’ credit. 
If the Prescriptive Pathway (15A) is chosen for the 'Greenhouse Gas Emissions' credit (5 points available) and the Prescriptive Pathway (16A) is chosen for the 'Peak Energy Demand' credit (1 point available), the total number of points able to be targeted by the project will be 6. However, the total number of points available in the category remains at 22 points.
</t>
    </r>
    <r>
      <rPr>
        <sz val="11"/>
        <color rgb="FF000000"/>
        <rFont val="Arial"/>
        <family val="2"/>
      </rPr>
      <t xml:space="preserve">
</t>
    </r>
  </si>
  <si>
    <t>SUBMISSION PLANNING</t>
  </si>
  <si>
    <t>Project Timeline</t>
  </si>
  <si>
    <t>Date (Month/Year)</t>
  </si>
  <si>
    <t>Start of design</t>
  </si>
  <si>
    <t>Site purchase date</t>
  </si>
  <si>
    <t>Design completed</t>
  </si>
  <si>
    <t>Start of construction</t>
  </si>
  <si>
    <t>Practical Completion</t>
  </si>
  <si>
    <t>Release 1 - 02/07/2015</t>
  </si>
  <si>
    <t>Release 2 - 06/08/2015</t>
  </si>
  <si>
    <t>Release 3 - 22/12/2015</t>
  </si>
  <si>
    <t>Green Star - Design &amp; As Built  
Version 1.1</t>
  </si>
  <si>
    <t>Green Star - Design &amp; As Built 
Version 1.0</t>
  </si>
  <si>
    <t>Release 4 - 15/02/2016</t>
  </si>
  <si>
    <t>Corrected totals for 'points awarded' and 'points to be confirmed' where some points are 'Not Applicable'.</t>
  </si>
  <si>
    <t>Added project timeline information to the Building Input Sheet.</t>
  </si>
  <si>
    <t>Release to align with the Green Star - Design &amp; As Built v1.1 Submission Guidelines. Minor updates to credit and criterion names, including the introduction of the 'BASIX Pathway' (15C) under the 'Greenhouse Gas Emissions' credit. No changes to points. 
This scorecard is applicable for projects being rated under either v1.0 or v1.1 of the Submission Guidelines, given the minimal changes between both versions.</t>
  </si>
  <si>
    <t>Initial release.</t>
  </si>
  <si>
    <t>Corrected 'Not Applicable' function for those criteria which fall under a Prescriptive Pathway. This update relates to the following four (4) criteria:
     - 17B.2 Reduced Car Parking Provision;
     - 17B.3 Low Emission Vehicle Infrastructure;
     - 18B.4 Landscape Irrigation; and
     - 18B.5 Fire Protection System Test Water.
For clarity, Not Applicable can only be applied to these criteria when the Prescriptive Pathway is being claimed. They can not be claimed Not Applicable when the Performance Pathway is being claimed.</t>
  </si>
  <si>
    <t>Change Log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</si>
</sst>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C09]dd\-mmm\-yy;@"/>
  </numFmts>
  <fonts count="74" x14ac:knownFonts="1">
    <font>
      <sz val="11"/>
      <color theme="1"/>
      <name val="Arial"/>
      <family val="2"/>
      <scheme val="minor"/>
    </font>
    <font>
      <b/>
      <sz val="12"/>
      <color theme="0"/>
      <name val="Arial"/>
      <family val="2"/>
      <scheme val="minor"/>
    </font>
    <font>
      <sz val="10"/>
      <color theme="1"/>
      <name val="Arial"/>
      <family val="2"/>
      <scheme val="minor"/>
    </font>
    <font>
      <sz val="12"/>
      <color theme="1"/>
      <name val="Arial"/>
      <family val="2"/>
      <scheme val="minor"/>
    </font>
    <font>
      <b/>
      <sz val="11"/>
      <color theme="0"/>
      <name val="Arial"/>
      <family val="2"/>
      <scheme val="minor"/>
    </font>
    <font>
      <b/>
      <sz val="14"/>
      <color theme="0"/>
      <name val="Arial"/>
      <family val="2"/>
      <scheme val="minor"/>
    </font>
    <font>
      <sz val="10"/>
      <name val="Arial"/>
      <family val="2"/>
      <scheme val="minor"/>
    </font>
    <font>
      <sz val="14"/>
      <color theme="1"/>
      <name val="Arial"/>
      <family val="2"/>
      <scheme val="minor"/>
    </font>
    <font>
      <b/>
      <sz val="12"/>
      <name val="Arial"/>
      <family val="2"/>
      <scheme val="minor"/>
    </font>
    <font>
      <sz val="11"/>
      <color theme="1"/>
      <name val="Arial"/>
      <family val="2"/>
      <scheme val="minor"/>
    </font>
    <font>
      <sz val="11"/>
      <name val="Arial"/>
      <family val="2"/>
      <scheme val="minor"/>
    </font>
    <font>
      <sz val="10"/>
      <name val="Arial"/>
      <family val="2"/>
    </font>
    <font>
      <b/>
      <sz val="22"/>
      <name val="Arial"/>
      <family val="2"/>
    </font>
    <font>
      <sz val="11"/>
      <color theme="0"/>
      <name val="Arial"/>
      <family val="2"/>
      <scheme val="minor"/>
    </font>
    <font>
      <sz val="11"/>
      <color theme="8" tint="0.39997558519241921"/>
      <name val="Arial"/>
      <family val="2"/>
      <scheme val="minor"/>
    </font>
    <font>
      <b/>
      <sz val="12"/>
      <color theme="1"/>
      <name val="Arial"/>
      <family val="2"/>
      <scheme val="minor"/>
    </font>
    <font>
      <b/>
      <sz val="14"/>
      <color theme="1"/>
      <name val="Century Gothic"/>
      <family val="2"/>
    </font>
    <font>
      <b/>
      <sz val="11"/>
      <color theme="1"/>
      <name val="Arial"/>
      <family val="2"/>
      <scheme val="minor"/>
    </font>
    <font>
      <sz val="11"/>
      <name val="Century Gothic"/>
      <family val="2"/>
    </font>
    <font>
      <b/>
      <sz val="10"/>
      <color rgb="FFFF0000"/>
      <name val="Arial"/>
      <family val="2"/>
      <scheme val="minor"/>
    </font>
    <font>
      <b/>
      <sz val="11"/>
      <name val="Arial"/>
      <family val="2"/>
      <scheme val="minor"/>
    </font>
    <font>
      <b/>
      <sz val="12"/>
      <color rgb="FFFF0000"/>
      <name val="Arial"/>
      <family val="2"/>
      <scheme val="minor"/>
    </font>
    <font>
      <sz val="10"/>
      <name val="Verdana"/>
      <family val="2"/>
    </font>
    <font>
      <sz val="8"/>
      <name val="Arial"/>
      <family val="2"/>
    </font>
    <font>
      <b/>
      <sz val="11"/>
      <name val="Arial"/>
      <family val="2"/>
    </font>
    <font>
      <sz val="11"/>
      <name val="Arial"/>
      <family val="2"/>
    </font>
    <font>
      <b/>
      <sz val="11"/>
      <color rgb="FFFF0000"/>
      <name val="Arial"/>
      <family val="2"/>
      <scheme val="minor"/>
    </font>
    <font>
      <b/>
      <sz val="12"/>
      <color theme="1"/>
      <name val="Century Gothic"/>
      <family val="2"/>
    </font>
    <font>
      <b/>
      <sz val="12"/>
      <color rgb="FFFF0000"/>
      <name val="Century Gothic"/>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theme="1"/>
      <name val="Century Gothic"/>
      <family val="2"/>
    </font>
    <font>
      <sz val="8"/>
      <color indexed="81"/>
      <name val="Tahoma"/>
      <family val="2"/>
    </font>
    <font>
      <b/>
      <sz val="24"/>
      <color rgb="FF1F3860"/>
      <name val="Arial Black"/>
      <family val="2"/>
    </font>
    <font>
      <sz val="24"/>
      <color rgb="FF002060"/>
      <name val="Arial Black"/>
      <family val="2"/>
    </font>
    <font>
      <b/>
      <sz val="14"/>
      <color theme="1"/>
      <name val="Arial Black"/>
      <family val="2"/>
    </font>
    <font>
      <b/>
      <sz val="14"/>
      <color theme="1"/>
      <name val="Arial"/>
      <family val="2"/>
      <scheme val="minor"/>
    </font>
    <font>
      <sz val="11"/>
      <color indexed="81"/>
      <name val="Tahoma"/>
      <family val="2"/>
    </font>
    <font>
      <sz val="11"/>
      <color indexed="81"/>
      <name val="Arial"/>
      <family val="2"/>
    </font>
    <font>
      <b/>
      <sz val="10"/>
      <name val="Arial"/>
      <family val="2"/>
    </font>
    <font>
      <b/>
      <sz val="14"/>
      <name val="Arial"/>
      <family val="2"/>
    </font>
    <font>
      <sz val="9"/>
      <color theme="1"/>
      <name val="Arial"/>
      <family val="2"/>
    </font>
    <font>
      <b/>
      <sz val="12"/>
      <name val="Arial"/>
      <family val="2"/>
    </font>
    <font>
      <b/>
      <sz val="10"/>
      <color theme="0"/>
      <name val="Arial"/>
      <family val="2"/>
    </font>
    <font>
      <sz val="10"/>
      <color indexed="8"/>
      <name val="Arial"/>
      <family val="2"/>
    </font>
    <font>
      <sz val="10"/>
      <color rgb="FF000000"/>
      <name val="Arial"/>
      <family val="2"/>
      <scheme val="minor"/>
    </font>
    <font>
      <sz val="10"/>
      <color theme="0"/>
      <name val="Arial"/>
      <family val="2"/>
    </font>
    <font>
      <sz val="11"/>
      <color theme="1"/>
      <name val="Arial"/>
      <family val="2"/>
    </font>
    <font>
      <b/>
      <sz val="11"/>
      <color theme="1"/>
      <name val="Arial"/>
      <family val="2"/>
    </font>
    <font>
      <sz val="11"/>
      <color rgb="FF000000"/>
      <name val="Arial"/>
      <family val="2"/>
    </font>
    <font>
      <b/>
      <sz val="14"/>
      <color theme="0"/>
      <name val="Arial"/>
      <family val="2"/>
    </font>
    <font>
      <sz val="10"/>
      <name val="Century Gothic"/>
      <family val="2"/>
    </font>
    <font>
      <sz val="9"/>
      <name val="Arial"/>
      <family val="2"/>
      <scheme val="minor"/>
    </font>
    <font>
      <b/>
      <sz val="10"/>
      <name val="Arial"/>
      <family val="2"/>
      <scheme val="minor"/>
    </font>
    <font>
      <sz val="11"/>
      <color rgb="FF000000"/>
      <name val="Arial"/>
      <family val="2"/>
      <scheme val="minor"/>
    </font>
    <font>
      <u/>
      <sz val="11"/>
      <color rgb="FF000000"/>
      <name val="Arial"/>
      <family val="2"/>
      <scheme val="minor"/>
    </font>
    <font>
      <b/>
      <sz val="11"/>
      <color rgb="FF000000"/>
      <name val="Arial"/>
      <family val="2"/>
      <scheme val="minor"/>
    </font>
    <font>
      <b/>
      <sz val="10"/>
      <color indexed="81"/>
      <name val="Tahoma"/>
      <family val="2"/>
    </font>
    <font>
      <sz val="10"/>
      <color indexed="81"/>
      <name val="Tahoma"/>
      <family val="2"/>
    </font>
  </fonts>
  <fills count="29">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4" tint="0.79998168889431442"/>
        <bgColor indexed="65"/>
      </patternFill>
    </fill>
    <fill>
      <patternFill patternType="solid">
        <fgColor theme="5" tint="0.39997558519241921"/>
        <bgColor indexed="65"/>
      </patternFill>
    </fill>
    <fill>
      <patternFill patternType="solid">
        <fgColor theme="3" tint="0.79998168889431442"/>
        <bgColor indexed="64"/>
      </patternFill>
    </fill>
    <fill>
      <patternFill patternType="solid">
        <fgColor rgb="FF000000"/>
        <bgColor indexed="64"/>
      </patternFill>
    </fill>
    <fill>
      <patternFill patternType="solid">
        <fgColor rgb="FF1F3862"/>
        <bgColor indexed="64"/>
      </patternFill>
    </fill>
    <fill>
      <patternFill patternType="solid">
        <fgColor theme="8" tint="0.79998168889431442"/>
        <bgColor indexed="64"/>
      </patternFill>
    </fill>
    <fill>
      <patternFill patternType="solid">
        <fgColor indexed="9"/>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6"/>
      </patternFill>
    </fill>
    <fill>
      <patternFill patternType="solid">
        <fgColor indexed="55"/>
      </patternFill>
    </fill>
    <fill>
      <patternFill patternType="solid">
        <fgColor indexed="42"/>
      </patternFill>
    </fill>
    <fill>
      <patternFill patternType="solid">
        <fgColor theme="4" tint="0.79998168889431442"/>
        <bgColor indexed="64"/>
      </patternFill>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3" tint="-0.499984740745262"/>
        <bgColor indexed="64"/>
      </patternFill>
    </fill>
  </fills>
  <borders count="50">
    <border>
      <left/>
      <right/>
      <top/>
      <bottom/>
      <diagonal/>
    </border>
    <border>
      <left/>
      <right style="hair">
        <color theme="4"/>
      </right>
      <top/>
      <bottom/>
      <diagonal/>
    </border>
    <border>
      <left style="hair">
        <color theme="4"/>
      </left>
      <right style="hair">
        <color theme="4"/>
      </right>
      <top/>
      <bottom style="hair">
        <color theme="4"/>
      </bottom>
      <diagonal/>
    </border>
    <border>
      <left/>
      <right/>
      <top/>
      <bottom style="thin">
        <color theme="6"/>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right/>
      <top style="hair">
        <color auto="1"/>
      </top>
      <bottom/>
      <diagonal/>
    </border>
    <border>
      <left/>
      <right/>
      <top/>
      <bottom style="hair">
        <color auto="1"/>
      </bottom>
      <diagonal/>
    </border>
    <border>
      <left/>
      <right style="hair">
        <color auto="1"/>
      </right>
      <top/>
      <bottom style="hair">
        <color auto="1"/>
      </bottom>
      <diagonal/>
    </border>
    <border>
      <left style="hair">
        <color theme="4"/>
      </left>
      <right style="hair">
        <color auto="1"/>
      </right>
      <top/>
      <bottom style="hair">
        <color theme="4"/>
      </bottom>
      <diagonal/>
    </border>
    <border>
      <left style="hair">
        <color auto="1"/>
      </left>
      <right style="hair">
        <color auto="1"/>
      </right>
      <top/>
      <bottom style="hair">
        <color theme="4"/>
      </bottom>
      <diagonal/>
    </border>
    <border>
      <left style="hair">
        <color auto="1"/>
      </left>
      <right style="hair">
        <color theme="4"/>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style="hair">
        <color theme="4"/>
      </right>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theme="4"/>
      </bottom>
      <diagonal/>
    </border>
    <border>
      <left style="hair">
        <color auto="1"/>
      </left>
      <right style="hair">
        <color auto="1"/>
      </right>
      <top/>
      <bottom/>
      <diagonal/>
    </border>
    <border>
      <left style="hair">
        <color auto="1"/>
      </left>
      <right style="hair">
        <color theme="4"/>
      </right>
      <top style="hair">
        <color auto="1"/>
      </top>
      <bottom/>
      <diagonal/>
    </border>
    <border>
      <left style="hair">
        <color theme="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theme="4"/>
      </right>
      <top style="hair">
        <color auto="1"/>
      </top>
      <bottom style="hair">
        <color auto="1"/>
      </bottom>
      <diagonal/>
    </border>
    <border>
      <left style="hair">
        <color auto="1"/>
      </left>
      <right/>
      <top/>
      <bottom/>
      <diagonal/>
    </border>
    <border>
      <left style="hair">
        <color auto="1"/>
      </left>
      <right style="hair">
        <color auto="1"/>
      </right>
      <top style="hair">
        <color theme="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235">
    <xf numFmtId="0" fontId="0" fillId="0" borderId="0"/>
    <xf numFmtId="165" fontId="11" fillId="0" borderId="0"/>
    <xf numFmtId="0" fontId="9" fillId="4" borderId="4" applyNumberFormat="0" applyAlignment="0" applyProtection="0"/>
    <xf numFmtId="0" fontId="13" fillId="5" borderId="0" applyNumberFormat="0" applyBorder="0" applyAlignment="0" applyProtection="0"/>
    <xf numFmtId="0" fontId="4" fillId="7" borderId="0">
      <alignment horizontal="center" vertical="center" wrapText="1"/>
      <protection locked="0"/>
    </xf>
    <xf numFmtId="0" fontId="14" fillId="9" borderId="4">
      <alignment vertical="center"/>
    </xf>
    <xf numFmtId="165" fontId="11" fillId="0" borderId="0"/>
    <xf numFmtId="165" fontId="22" fillId="0" borderId="0"/>
    <xf numFmtId="0" fontId="22" fillId="0" borderId="0"/>
    <xf numFmtId="165" fontId="9" fillId="0" borderId="0"/>
    <xf numFmtId="165" fontId="29" fillId="10" borderId="0" applyNumberFormat="0" applyBorder="0" applyAlignment="0" applyProtection="0"/>
    <xf numFmtId="165" fontId="29" fillId="10" borderId="0" applyNumberFormat="0" applyBorder="0" applyAlignment="0" applyProtection="0"/>
    <xf numFmtId="165" fontId="29" fillId="10" borderId="0" applyNumberFormat="0" applyBorder="0" applyAlignment="0" applyProtection="0"/>
    <xf numFmtId="165" fontId="29" fillId="10" borderId="0" applyNumberFormat="0" applyBorder="0" applyAlignment="0" applyProtection="0"/>
    <xf numFmtId="165" fontId="29" fillId="10" borderId="0" applyNumberFormat="0" applyBorder="0" applyAlignment="0" applyProtection="0"/>
    <xf numFmtId="165" fontId="29" fillId="11" borderId="0" applyNumberFormat="0" applyBorder="0" applyAlignment="0" applyProtection="0"/>
    <xf numFmtId="165" fontId="29" fillId="11" borderId="0" applyNumberFormat="0" applyBorder="0" applyAlignment="0" applyProtection="0"/>
    <xf numFmtId="165" fontId="29" fillId="11" borderId="0" applyNumberFormat="0" applyBorder="0" applyAlignment="0" applyProtection="0"/>
    <xf numFmtId="165" fontId="29" fillId="11" borderId="0" applyNumberFormat="0" applyBorder="0" applyAlignment="0" applyProtection="0"/>
    <xf numFmtId="165" fontId="29" fillId="11" borderId="0" applyNumberFormat="0" applyBorder="0" applyAlignment="0" applyProtection="0"/>
    <xf numFmtId="165" fontId="29" fillId="12" borderId="0" applyNumberFormat="0" applyBorder="0" applyAlignment="0" applyProtection="0"/>
    <xf numFmtId="165" fontId="29" fillId="12" borderId="0" applyNumberFormat="0" applyBorder="0" applyAlignment="0" applyProtection="0"/>
    <xf numFmtId="165" fontId="29" fillId="12" borderId="0" applyNumberFormat="0" applyBorder="0" applyAlignment="0" applyProtection="0"/>
    <xf numFmtId="165" fontId="29" fillId="12" borderId="0" applyNumberFormat="0" applyBorder="0" applyAlignment="0" applyProtection="0"/>
    <xf numFmtId="165" fontId="29" fillId="12" borderId="0" applyNumberFormat="0" applyBorder="0" applyAlignment="0" applyProtection="0"/>
    <xf numFmtId="165" fontId="29" fillId="10" borderId="0" applyNumberFormat="0" applyBorder="0" applyAlignment="0" applyProtection="0"/>
    <xf numFmtId="165" fontId="29" fillId="10" borderId="0" applyNumberFormat="0" applyBorder="0" applyAlignment="0" applyProtection="0"/>
    <xf numFmtId="165" fontId="29" fillId="10" borderId="0" applyNumberFormat="0" applyBorder="0" applyAlignment="0" applyProtection="0"/>
    <xf numFmtId="165" fontId="29" fillId="10" borderId="0" applyNumberFormat="0" applyBorder="0" applyAlignment="0" applyProtection="0"/>
    <xf numFmtId="165" fontId="29" fillId="10" borderId="0" applyNumberFormat="0" applyBorder="0" applyAlignment="0" applyProtection="0"/>
    <xf numFmtId="165" fontId="29" fillId="13" borderId="0" applyNumberFormat="0" applyBorder="0" applyAlignment="0" applyProtection="0"/>
    <xf numFmtId="165" fontId="29" fillId="13" borderId="0" applyNumberFormat="0" applyBorder="0" applyAlignment="0" applyProtection="0"/>
    <xf numFmtId="165" fontId="29" fillId="13" borderId="0" applyNumberFormat="0" applyBorder="0" applyAlignment="0" applyProtection="0"/>
    <xf numFmtId="165" fontId="29" fillId="13" borderId="0" applyNumberFormat="0" applyBorder="0" applyAlignment="0" applyProtection="0"/>
    <xf numFmtId="165" fontId="29" fillId="13" borderId="0" applyNumberFormat="0" applyBorder="0" applyAlignment="0" applyProtection="0"/>
    <xf numFmtId="165" fontId="29" fillId="12" borderId="0" applyNumberFormat="0" applyBorder="0" applyAlignment="0" applyProtection="0"/>
    <xf numFmtId="165" fontId="29" fillId="12" borderId="0" applyNumberFormat="0" applyBorder="0" applyAlignment="0" applyProtection="0"/>
    <xf numFmtId="165" fontId="29" fillId="12" borderId="0" applyNumberFormat="0" applyBorder="0" applyAlignment="0" applyProtection="0"/>
    <xf numFmtId="165" fontId="29" fillId="12" borderId="0" applyNumberFormat="0" applyBorder="0" applyAlignment="0" applyProtection="0"/>
    <xf numFmtId="165" fontId="29" fillId="12" borderId="0" applyNumberFormat="0" applyBorder="0" applyAlignment="0" applyProtection="0"/>
    <xf numFmtId="165" fontId="29" fillId="14" borderId="0" applyNumberFormat="0" applyBorder="0" applyAlignment="0" applyProtection="0"/>
    <xf numFmtId="165" fontId="29" fillId="14" borderId="0" applyNumberFormat="0" applyBorder="0" applyAlignment="0" applyProtection="0"/>
    <xf numFmtId="165" fontId="29" fillId="14" borderId="0" applyNumberFormat="0" applyBorder="0" applyAlignment="0" applyProtection="0"/>
    <xf numFmtId="165" fontId="29" fillId="14" borderId="0" applyNumberFormat="0" applyBorder="0" applyAlignment="0" applyProtection="0"/>
    <xf numFmtId="165" fontId="29" fillId="14" borderId="0" applyNumberFormat="0" applyBorder="0" applyAlignment="0" applyProtection="0"/>
    <xf numFmtId="165" fontId="29" fillId="11" borderId="0" applyNumberFormat="0" applyBorder="0" applyAlignment="0" applyProtection="0"/>
    <xf numFmtId="165" fontId="29" fillId="11" borderId="0" applyNumberFormat="0" applyBorder="0" applyAlignment="0" applyProtection="0"/>
    <xf numFmtId="165" fontId="29" fillId="11" borderId="0" applyNumberFormat="0" applyBorder="0" applyAlignment="0" applyProtection="0"/>
    <xf numFmtId="165" fontId="29" fillId="11" borderId="0" applyNumberFormat="0" applyBorder="0" applyAlignment="0" applyProtection="0"/>
    <xf numFmtId="165" fontId="29" fillId="11" borderId="0" applyNumberFormat="0" applyBorder="0" applyAlignment="0" applyProtection="0"/>
    <xf numFmtId="165" fontId="29" fillId="15" borderId="0" applyNumberFormat="0" applyBorder="0" applyAlignment="0" applyProtection="0"/>
    <xf numFmtId="165" fontId="29" fillId="15" borderId="0" applyNumberFormat="0" applyBorder="0" applyAlignment="0" applyProtection="0"/>
    <xf numFmtId="165" fontId="29" fillId="15" borderId="0" applyNumberFormat="0" applyBorder="0" applyAlignment="0" applyProtection="0"/>
    <xf numFmtId="165" fontId="29" fillId="15" borderId="0" applyNumberFormat="0" applyBorder="0" applyAlignment="0" applyProtection="0"/>
    <xf numFmtId="165" fontId="29" fillId="15" borderId="0" applyNumberFormat="0" applyBorder="0" applyAlignment="0" applyProtection="0"/>
    <xf numFmtId="165" fontId="29" fillId="14" borderId="0" applyNumberFormat="0" applyBorder="0" applyAlignment="0" applyProtection="0"/>
    <xf numFmtId="165" fontId="29" fillId="14" borderId="0" applyNumberFormat="0" applyBorder="0" applyAlignment="0" applyProtection="0"/>
    <xf numFmtId="165" fontId="29" fillId="14" borderId="0" applyNumberFormat="0" applyBorder="0" applyAlignment="0" applyProtection="0"/>
    <xf numFmtId="165" fontId="29" fillId="14" borderId="0" applyNumberFormat="0" applyBorder="0" applyAlignment="0" applyProtection="0"/>
    <xf numFmtId="165" fontId="29" fillId="14" borderId="0" applyNumberFormat="0" applyBorder="0" applyAlignment="0" applyProtection="0"/>
    <xf numFmtId="165" fontId="29" fillId="13" borderId="0" applyNumberFormat="0" applyBorder="0" applyAlignment="0" applyProtection="0"/>
    <xf numFmtId="165" fontId="29" fillId="13" borderId="0" applyNumberFormat="0" applyBorder="0" applyAlignment="0" applyProtection="0"/>
    <xf numFmtId="165" fontId="29" fillId="13" borderId="0" applyNumberFormat="0" applyBorder="0" applyAlignment="0" applyProtection="0"/>
    <xf numFmtId="165" fontId="29" fillId="13" borderId="0" applyNumberFormat="0" applyBorder="0" applyAlignment="0" applyProtection="0"/>
    <xf numFmtId="165" fontId="29" fillId="13" borderId="0" applyNumberFormat="0" applyBorder="0" applyAlignment="0" applyProtection="0"/>
    <xf numFmtId="165" fontId="29" fillId="15" borderId="0" applyNumberFormat="0" applyBorder="0" applyAlignment="0" applyProtection="0"/>
    <xf numFmtId="165" fontId="29" fillId="15" borderId="0" applyNumberFormat="0" applyBorder="0" applyAlignment="0" applyProtection="0"/>
    <xf numFmtId="165" fontId="29" fillId="15" borderId="0" applyNumberFormat="0" applyBorder="0" applyAlignment="0" applyProtection="0"/>
    <xf numFmtId="165" fontId="29" fillId="15" borderId="0" applyNumberFormat="0" applyBorder="0" applyAlignment="0" applyProtection="0"/>
    <xf numFmtId="165" fontId="29" fillId="15" borderId="0" applyNumberFormat="0" applyBorder="0" applyAlignment="0" applyProtection="0"/>
    <xf numFmtId="165" fontId="30" fillId="16" borderId="0" applyNumberFormat="0" applyBorder="0" applyAlignment="0" applyProtection="0"/>
    <xf numFmtId="165" fontId="30" fillId="16" borderId="0" applyNumberFormat="0" applyBorder="0" applyAlignment="0" applyProtection="0"/>
    <xf numFmtId="165" fontId="30" fillId="16" borderId="0" applyNumberFormat="0" applyBorder="0" applyAlignment="0" applyProtection="0"/>
    <xf numFmtId="165" fontId="30" fillId="16" borderId="0" applyNumberFormat="0" applyBorder="0" applyAlignment="0" applyProtection="0"/>
    <xf numFmtId="165" fontId="30" fillId="16" borderId="0" applyNumberFormat="0" applyBorder="0" applyAlignment="0" applyProtection="0"/>
    <xf numFmtId="165" fontId="30" fillId="11" borderId="0" applyNumberFormat="0" applyBorder="0" applyAlignment="0" applyProtection="0"/>
    <xf numFmtId="165" fontId="30" fillId="11" borderId="0" applyNumberFormat="0" applyBorder="0" applyAlignment="0" applyProtection="0"/>
    <xf numFmtId="165" fontId="30" fillId="11" borderId="0" applyNumberFormat="0" applyBorder="0" applyAlignment="0" applyProtection="0"/>
    <xf numFmtId="165" fontId="30" fillId="11" borderId="0" applyNumberFormat="0" applyBorder="0" applyAlignment="0" applyProtection="0"/>
    <xf numFmtId="165" fontId="30" fillId="11" borderId="0" applyNumberFormat="0" applyBorder="0" applyAlignment="0" applyProtection="0"/>
    <xf numFmtId="165" fontId="30" fillId="15" borderId="0" applyNumberFormat="0" applyBorder="0" applyAlignment="0" applyProtection="0"/>
    <xf numFmtId="165" fontId="30" fillId="15" borderId="0" applyNumberFormat="0" applyBorder="0" applyAlignment="0" applyProtection="0"/>
    <xf numFmtId="165" fontId="30" fillId="15" borderId="0" applyNumberFormat="0" applyBorder="0" applyAlignment="0" applyProtection="0"/>
    <xf numFmtId="165" fontId="30" fillId="15" borderId="0" applyNumberFormat="0" applyBorder="0" applyAlignment="0" applyProtection="0"/>
    <xf numFmtId="165" fontId="30" fillId="15" borderId="0" applyNumberFormat="0" applyBorder="0" applyAlignment="0" applyProtection="0"/>
    <xf numFmtId="165" fontId="30" fillId="14" borderId="0" applyNumberFormat="0" applyBorder="0" applyAlignment="0" applyProtection="0"/>
    <xf numFmtId="165" fontId="30" fillId="14" borderId="0" applyNumberFormat="0" applyBorder="0" applyAlignment="0" applyProtection="0"/>
    <xf numFmtId="165" fontId="30" fillId="14" borderId="0" applyNumberFormat="0" applyBorder="0" applyAlignment="0" applyProtection="0"/>
    <xf numFmtId="165" fontId="30" fillId="14" borderId="0" applyNumberFormat="0" applyBorder="0" applyAlignment="0" applyProtection="0"/>
    <xf numFmtId="165" fontId="30" fillId="14" borderId="0" applyNumberFormat="0" applyBorder="0" applyAlignment="0" applyProtection="0"/>
    <xf numFmtId="165" fontId="30" fillId="16" borderId="0" applyNumberFormat="0" applyBorder="0" applyAlignment="0" applyProtection="0"/>
    <xf numFmtId="165" fontId="30" fillId="16" borderId="0" applyNumberFormat="0" applyBorder="0" applyAlignment="0" applyProtection="0"/>
    <xf numFmtId="165" fontId="30" fillId="16" borderId="0" applyNumberFormat="0" applyBorder="0" applyAlignment="0" applyProtection="0"/>
    <xf numFmtId="165" fontId="30" fillId="16" borderId="0" applyNumberFormat="0" applyBorder="0" applyAlignment="0" applyProtection="0"/>
    <xf numFmtId="165" fontId="30" fillId="16" borderId="0" applyNumberFormat="0" applyBorder="0" applyAlignment="0" applyProtection="0"/>
    <xf numFmtId="165" fontId="30" fillId="11" borderId="0" applyNumberFormat="0" applyBorder="0" applyAlignment="0" applyProtection="0"/>
    <xf numFmtId="165" fontId="30" fillId="11" borderId="0" applyNumberFormat="0" applyBorder="0" applyAlignment="0" applyProtection="0"/>
    <xf numFmtId="165" fontId="30" fillId="11" borderId="0" applyNumberFormat="0" applyBorder="0" applyAlignment="0" applyProtection="0"/>
    <xf numFmtId="165" fontId="30" fillId="11" borderId="0" applyNumberFormat="0" applyBorder="0" applyAlignment="0" applyProtection="0"/>
    <xf numFmtId="165" fontId="30" fillId="11" borderId="0" applyNumberFormat="0" applyBorder="0" applyAlignment="0" applyProtection="0"/>
    <xf numFmtId="165" fontId="30" fillId="16" borderId="0" applyNumberFormat="0" applyBorder="0" applyAlignment="0" applyProtection="0"/>
    <xf numFmtId="165" fontId="30" fillId="16" borderId="0" applyNumberFormat="0" applyBorder="0" applyAlignment="0" applyProtection="0"/>
    <xf numFmtId="165" fontId="30" fillId="16" borderId="0" applyNumberFormat="0" applyBorder="0" applyAlignment="0" applyProtection="0"/>
    <xf numFmtId="165" fontId="30" fillId="16" borderId="0" applyNumberFormat="0" applyBorder="0" applyAlignment="0" applyProtection="0"/>
    <xf numFmtId="165" fontId="30" fillId="16" borderId="0" applyNumberFormat="0" applyBorder="0" applyAlignment="0" applyProtection="0"/>
    <xf numFmtId="165" fontId="30" fillId="17" borderId="0" applyNumberFormat="0" applyBorder="0" applyAlignment="0" applyProtection="0"/>
    <xf numFmtId="165" fontId="30" fillId="17" borderId="0" applyNumberFormat="0" applyBorder="0" applyAlignment="0" applyProtection="0"/>
    <xf numFmtId="165" fontId="30" fillId="17" borderId="0" applyNumberFormat="0" applyBorder="0" applyAlignment="0" applyProtection="0"/>
    <xf numFmtId="165" fontId="30" fillId="17" borderId="0" applyNumberFormat="0" applyBorder="0" applyAlignment="0" applyProtection="0"/>
    <xf numFmtId="165" fontId="30" fillId="17" borderId="0" applyNumberFormat="0" applyBorder="0" applyAlignment="0" applyProtection="0"/>
    <xf numFmtId="165" fontId="30" fillId="18" borderId="0" applyNumberFormat="0" applyBorder="0" applyAlignment="0" applyProtection="0"/>
    <xf numFmtId="165" fontId="30" fillId="18" borderId="0" applyNumberFormat="0" applyBorder="0" applyAlignment="0" applyProtection="0"/>
    <xf numFmtId="165" fontId="30" fillId="18" borderId="0" applyNumberFormat="0" applyBorder="0" applyAlignment="0" applyProtection="0"/>
    <xf numFmtId="165" fontId="30" fillId="18" borderId="0" applyNumberFormat="0" applyBorder="0" applyAlignment="0" applyProtection="0"/>
    <xf numFmtId="165" fontId="30" fillId="18" borderId="0" applyNumberFormat="0" applyBorder="0" applyAlignment="0" applyProtection="0"/>
    <xf numFmtId="165" fontId="30" fillId="19" borderId="0" applyNumberFormat="0" applyBorder="0" applyAlignment="0" applyProtection="0"/>
    <xf numFmtId="165" fontId="30" fillId="19" borderId="0" applyNumberFormat="0" applyBorder="0" applyAlignment="0" applyProtection="0"/>
    <xf numFmtId="165" fontId="30" fillId="19" borderId="0" applyNumberFormat="0" applyBorder="0" applyAlignment="0" applyProtection="0"/>
    <xf numFmtId="165" fontId="30" fillId="19" borderId="0" applyNumberFormat="0" applyBorder="0" applyAlignment="0" applyProtection="0"/>
    <xf numFmtId="165" fontId="30" fillId="19" borderId="0" applyNumberFormat="0" applyBorder="0" applyAlignment="0" applyProtection="0"/>
    <xf numFmtId="165" fontId="30" fillId="16" borderId="0" applyNumberFormat="0" applyBorder="0" applyAlignment="0" applyProtection="0"/>
    <xf numFmtId="165" fontId="30" fillId="16" borderId="0" applyNumberFormat="0" applyBorder="0" applyAlignment="0" applyProtection="0"/>
    <xf numFmtId="165" fontId="30" fillId="16" borderId="0" applyNumberFormat="0" applyBorder="0" applyAlignment="0" applyProtection="0"/>
    <xf numFmtId="165" fontId="30" fillId="16" borderId="0" applyNumberFormat="0" applyBorder="0" applyAlignment="0" applyProtection="0"/>
    <xf numFmtId="165" fontId="30" fillId="16" borderId="0" applyNumberFormat="0" applyBorder="0" applyAlignment="0" applyProtection="0"/>
    <xf numFmtId="165" fontId="30" fillId="20" borderId="0" applyNumberFormat="0" applyBorder="0" applyAlignment="0" applyProtection="0"/>
    <xf numFmtId="165" fontId="30" fillId="20" borderId="0" applyNumberFormat="0" applyBorder="0" applyAlignment="0" applyProtection="0"/>
    <xf numFmtId="165" fontId="30" fillId="20" borderId="0" applyNumberFormat="0" applyBorder="0" applyAlignment="0" applyProtection="0"/>
    <xf numFmtId="165" fontId="30" fillId="20" borderId="0" applyNumberFormat="0" applyBorder="0" applyAlignment="0" applyProtection="0"/>
    <xf numFmtId="165" fontId="30" fillId="20" borderId="0" applyNumberFormat="0" applyBorder="0" applyAlignment="0" applyProtection="0"/>
    <xf numFmtId="165" fontId="31" fillId="21" borderId="0" applyNumberFormat="0" applyBorder="0" applyAlignment="0" applyProtection="0"/>
    <xf numFmtId="165" fontId="31" fillId="21" borderId="0" applyNumberFormat="0" applyBorder="0" applyAlignment="0" applyProtection="0"/>
    <xf numFmtId="165" fontId="31" fillId="21" borderId="0" applyNumberFormat="0" applyBorder="0" applyAlignment="0" applyProtection="0"/>
    <xf numFmtId="165" fontId="31" fillId="21" borderId="0" applyNumberFormat="0" applyBorder="0" applyAlignment="0" applyProtection="0"/>
    <xf numFmtId="165" fontId="31" fillId="21" borderId="0" applyNumberFormat="0" applyBorder="0" applyAlignment="0" applyProtection="0"/>
    <xf numFmtId="165" fontId="32" fillId="10" borderId="27" applyNumberFormat="0" applyAlignment="0" applyProtection="0"/>
    <xf numFmtId="165" fontId="32" fillId="10" borderId="27" applyNumberFormat="0" applyAlignment="0" applyProtection="0"/>
    <xf numFmtId="165" fontId="32" fillId="10" borderId="27" applyNumberFormat="0" applyAlignment="0" applyProtection="0"/>
    <xf numFmtId="165" fontId="32" fillId="10" borderId="27" applyNumberFormat="0" applyAlignment="0" applyProtection="0"/>
    <xf numFmtId="165" fontId="32" fillId="10" borderId="27" applyNumberFormat="0" applyAlignment="0" applyProtection="0"/>
    <xf numFmtId="165" fontId="33" fillId="22" borderId="28" applyNumberFormat="0" applyAlignment="0" applyProtection="0"/>
    <xf numFmtId="165" fontId="33" fillId="22" borderId="28" applyNumberFormat="0" applyAlignment="0" applyProtection="0"/>
    <xf numFmtId="165" fontId="33" fillId="22" borderId="28" applyNumberFormat="0" applyAlignment="0" applyProtection="0"/>
    <xf numFmtId="165" fontId="33" fillId="22" borderId="28" applyNumberFormat="0" applyAlignment="0" applyProtection="0"/>
    <xf numFmtId="165" fontId="33" fillId="22" borderId="28" applyNumberFormat="0" applyAlignment="0" applyProtection="0"/>
    <xf numFmtId="165" fontId="34" fillId="0" borderId="0" applyNumberFormat="0" applyFill="0" applyBorder="0" applyAlignment="0" applyProtection="0"/>
    <xf numFmtId="165" fontId="34" fillId="0" borderId="0" applyNumberFormat="0" applyFill="0" applyBorder="0" applyAlignment="0" applyProtection="0"/>
    <xf numFmtId="165" fontId="34" fillId="0" borderId="0" applyNumberFormat="0" applyFill="0" applyBorder="0" applyAlignment="0" applyProtection="0"/>
    <xf numFmtId="165" fontId="34" fillId="0" borderId="0" applyNumberFormat="0" applyFill="0" applyBorder="0" applyAlignment="0" applyProtection="0"/>
    <xf numFmtId="165" fontId="34" fillId="0" borderId="0" applyNumberFormat="0" applyFill="0" applyBorder="0" applyAlignment="0" applyProtection="0"/>
    <xf numFmtId="165" fontId="35" fillId="23" borderId="0" applyNumberFormat="0" applyBorder="0" applyAlignment="0" applyProtection="0"/>
    <xf numFmtId="165" fontId="35" fillId="23" borderId="0" applyNumberFormat="0" applyBorder="0" applyAlignment="0" applyProtection="0"/>
    <xf numFmtId="165" fontId="35" fillId="23" borderId="0" applyNumberFormat="0" applyBorder="0" applyAlignment="0" applyProtection="0"/>
    <xf numFmtId="165" fontId="35" fillId="23" borderId="0" applyNumberFormat="0" applyBorder="0" applyAlignment="0" applyProtection="0"/>
    <xf numFmtId="165" fontId="35" fillId="23" borderId="0" applyNumberFormat="0" applyBorder="0" applyAlignment="0" applyProtection="0"/>
    <xf numFmtId="165" fontId="36" fillId="0" borderId="29" applyNumberFormat="0" applyFill="0" applyAlignment="0" applyProtection="0"/>
    <xf numFmtId="165" fontId="36" fillId="0" borderId="29" applyNumberFormat="0" applyFill="0" applyAlignment="0" applyProtection="0"/>
    <xf numFmtId="165" fontId="36" fillId="0" borderId="29" applyNumberFormat="0" applyFill="0" applyAlignment="0" applyProtection="0"/>
    <xf numFmtId="165" fontId="36" fillId="0" borderId="29" applyNumberFormat="0" applyFill="0" applyAlignment="0" applyProtection="0"/>
    <xf numFmtId="165" fontId="36" fillId="0" borderId="29" applyNumberFormat="0" applyFill="0" applyAlignment="0" applyProtection="0"/>
    <xf numFmtId="165" fontId="37" fillId="0" borderId="30" applyNumberFormat="0" applyFill="0" applyAlignment="0" applyProtection="0"/>
    <xf numFmtId="165" fontId="37" fillId="0" borderId="30" applyNumberFormat="0" applyFill="0" applyAlignment="0" applyProtection="0"/>
    <xf numFmtId="165" fontId="37" fillId="0" borderId="30" applyNumberFormat="0" applyFill="0" applyAlignment="0" applyProtection="0"/>
    <xf numFmtId="165" fontId="37" fillId="0" borderId="30" applyNumberFormat="0" applyFill="0" applyAlignment="0" applyProtection="0"/>
    <xf numFmtId="165" fontId="37" fillId="0" borderId="30" applyNumberFormat="0" applyFill="0" applyAlignment="0" applyProtection="0"/>
    <xf numFmtId="165" fontId="38" fillId="0" borderId="31" applyNumberFormat="0" applyFill="0" applyAlignment="0" applyProtection="0"/>
    <xf numFmtId="165" fontId="38" fillId="0" borderId="31" applyNumberFormat="0" applyFill="0" applyAlignment="0" applyProtection="0"/>
    <xf numFmtId="165" fontId="38" fillId="0" borderId="31" applyNumberFormat="0" applyFill="0" applyAlignment="0" applyProtection="0"/>
    <xf numFmtId="165" fontId="38" fillId="0" borderId="31" applyNumberFormat="0" applyFill="0" applyAlignment="0" applyProtection="0"/>
    <xf numFmtId="165" fontId="38" fillId="0" borderId="31" applyNumberFormat="0" applyFill="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8" fillId="0" borderId="0" applyNumberFormat="0" applyFill="0" applyBorder="0" applyAlignment="0" applyProtection="0"/>
    <xf numFmtId="165" fontId="39" fillId="15" borderId="27" applyNumberFormat="0" applyAlignment="0" applyProtection="0"/>
    <xf numFmtId="165" fontId="39" fillId="15" borderId="27" applyNumberFormat="0" applyAlignment="0" applyProtection="0"/>
    <xf numFmtId="165" fontId="39" fillId="15" borderId="27" applyNumberFormat="0" applyAlignment="0" applyProtection="0"/>
    <xf numFmtId="165" fontId="39" fillId="15" borderId="27" applyNumberFormat="0" applyAlignment="0" applyProtection="0"/>
    <xf numFmtId="165" fontId="39" fillId="15" borderId="27" applyNumberFormat="0" applyAlignment="0" applyProtection="0"/>
    <xf numFmtId="165" fontId="40" fillId="0" borderId="32" applyNumberFormat="0" applyFill="0" applyAlignment="0" applyProtection="0"/>
    <xf numFmtId="165" fontId="40" fillId="0" borderId="32" applyNumberFormat="0" applyFill="0" applyAlignment="0" applyProtection="0"/>
    <xf numFmtId="165" fontId="40" fillId="0" borderId="32" applyNumberFormat="0" applyFill="0" applyAlignment="0" applyProtection="0"/>
    <xf numFmtId="165" fontId="40" fillId="0" borderId="32" applyNumberFormat="0" applyFill="0" applyAlignment="0" applyProtection="0"/>
    <xf numFmtId="165" fontId="40" fillId="0" borderId="32" applyNumberFormat="0" applyFill="0" applyAlignment="0" applyProtection="0"/>
    <xf numFmtId="165" fontId="41" fillId="15" borderId="0" applyNumberFormat="0" applyBorder="0" applyAlignment="0" applyProtection="0"/>
    <xf numFmtId="165" fontId="41" fillId="15" borderId="0" applyNumberFormat="0" applyBorder="0" applyAlignment="0" applyProtection="0"/>
    <xf numFmtId="165" fontId="41" fillId="15" borderId="0" applyNumberFormat="0" applyBorder="0" applyAlignment="0" applyProtection="0"/>
    <xf numFmtId="165" fontId="41" fillId="15" borderId="0" applyNumberFormat="0" applyBorder="0" applyAlignment="0" applyProtection="0"/>
    <xf numFmtId="165" fontId="41" fillId="15" borderId="0" applyNumberFormat="0" applyBorder="0" applyAlignment="0" applyProtection="0"/>
    <xf numFmtId="165" fontId="23" fillId="0" borderId="0"/>
    <xf numFmtId="165" fontId="22" fillId="0" borderId="0"/>
    <xf numFmtId="165" fontId="23" fillId="0" borderId="0"/>
    <xf numFmtId="165" fontId="11" fillId="0" borderId="0"/>
    <xf numFmtId="165" fontId="11" fillId="0" borderId="0"/>
    <xf numFmtId="165" fontId="11" fillId="12" borderId="33" applyNumberFormat="0" applyFont="0" applyAlignment="0" applyProtection="0"/>
    <xf numFmtId="165" fontId="11" fillId="12" borderId="33" applyNumberFormat="0" applyFont="0" applyAlignment="0" applyProtection="0"/>
    <xf numFmtId="165" fontId="11" fillId="12" borderId="33" applyNumberFormat="0" applyFont="0" applyAlignment="0" applyProtection="0"/>
    <xf numFmtId="165" fontId="11" fillId="12" borderId="33" applyNumberFormat="0" applyFont="0" applyAlignment="0" applyProtection="0"/>
    <xf numFmtId="165" fontId="11" fillId="12" borderId="33" applyNumberFormat="0" applyFont="0" applyAlignment="0" applyProtection="0"/>
    <xf numFmtId="165" fontId="42" fillId="10" borderId="34" applyNumberFormat="0" applyAlignment="0" applyProtection="0"/>
    <xf numFmtId="165" fontId="42" fillId="10" borderId="34" applyNumberFormat="0" applyAlignment="0" applyProtection="0"/>
    <xf numFmtId="165" fontId="42" fillId="10" borderId="34" applyNumberFormat="0" applyAlignment="0" applyProtection="0"/>
    <xf numFmtId="165" fontId="42" fillId="10" borderId="34" applyNumberFormat="0" applyAlignment="0" applyProtection="0"/>
    <xf numFmtId="165" fontId="42" fillId="10" borderId="34" applyNumberFormat="0" applyAlignment="0" applyProtection="0"/>
    <xf numFmtId="9" fontId="22" fillId="0" borderId="0" applyFont="0" applyFill="0" applyBorder="0" applyAlignment="0" applyProtection="0"/>
    <xf numFmtId="165" fontId="43" fillId="0" borderId="0" applyNumberFormat="0" applyFill="0" applyBorder="0" applyAlignment="0" applyProtection="0"/>
    <xf numFmtId="165" fontId="43" fillId="0" borderId="0" applyNumberFormat="0" applyFill="0" applyBorder="0" applyAlignment="0" applyProtection="0"/>
    <xf numFmtId="165" fontId="43" fillId="0" borderId="0" applyNumberFormat="0" applyFill="0" applyBorder="0" applyAlignment="0" applyProtection="0"/>
    <xf numFmtId="165" fontId="43" fillId="0" borderId="0" applyNumberFormat="0" applyFill="0" applyBorder="0" applyAlignment="0" applyProtection="0"/>
    <xf numFmtId="165" fontId="43" fillId="0" borderId="0" applyNumberFormat="0" applyFill="0" applyBorder="0" applyAlignment="0" applyProtection="0"/>
    <xf numFmtId="165" fontId="44" fillId="0" borderId="35" applyNumberFormat="0" applyFill="0" applyAlignment="0" applyProtection="0"/>
    <xf numFmtId="165" fontId="44" fillId="0" borderId="35" applyNumberFormat="0" applyFill="0" applyAlignment="0" applyProtection="0"/>
    <xf numFmtId="165" fontId="44" fillId="0" borderId="35" applyNumberFormat="0" applyFill="0" applyAlignment="0" applyProtection="0"/>
    <xf numFmtId="165" fontId="44" fillId="0" borderId="35" applyNumberFormat="0" applyFill="0" applyAlignment="0" applyProtection="0"/>
    <xf numFmtId="165" fontId="44" fillId="0" borderId="35" applyNumberFormat="0" applyFill="0" applyAlignment="0" applyProtection="0"/>
    <xf numFmtId="165" fontId="45" fillId="0" borderId="0" applyNumberFormat="0" applyFill="0" applyBorder="0" applyAlignment="0" applyProtection="0"/>
    <xf numFmtId="165" fontId="45" fillId="0" borderId="0" applyNumberFormat="0" applyFill="0" applyBorder="0" applyAlignment="0" applyProtection="0"/>
    <xf numFmtId="165" fontId="45" fillId="0" borderId="0" applyNumberFormat="0" applyFill="0" applyBorder="0" applyAlignment="0" applyProtection="0"/>
    <xf numFmtId="165" fontId="45" fillId="0" borderId="0" applyNumberFormat="0" applyFill="0" applyBorder="0" applyAlignment="0" applyProtection="0"/>
    <xf numFmtId="165" fontId="45" fillId="0" borderId="0" applyNumberFormat="0" applyFill="0" applyBorder="0" applyAlignment="0" applyProtection="0"/>
    <xf numFmtId="9" fontId="9" fillId="0" borderId="0" applyFont="0" applyFill="0" applyBorder="0" applyAlignment="0" applyProtection="0"/>
    <xf numFmtId="0" fontId="9" fillId="0" borderId="0"/>
    <xf numFmtId="0" fontId="11" fillId="25" borderId="0">
      <protection locked="0"/>
    </xf>
    <xf numFmtId="0" fontId="11" fillId="26" borderId="44">
      <alignment horizontal="center" vertical="center"/>
      <protection locked="0"/>
    </xf>
    <xf numFmtId="0" fontId="11" fillId="27" borderId="0">
      <protection locked="0"/>
    </xf>
    <xf numFmtId="0" fontId="54" fillId="26" borderId="0">
      <alignment vertical="center"/>
      <protection locked="0"/>
    </xf>
    <xf numFmtId="0" fontId="54" fillId="0" borderId="0">
      <protection locked="0"/>
    </xf>
    <xf numFmtId="0" fontId="55" fillId="0" borderId="0">
      <protection locked="0"/>
    </xf>
    <xf numFmtId="0" fontId="56" fillId="0" borderId="0"/>
    <xf numFmtId="0" fontId="11" fillId="0" borderId="0"/>
    <xf numFmtId="9" fontId="56" fillId="0" borderId="0" applyFont="0" applyFill="0" applyBorder="0" applyAlignment="0" applyProtection="0"/>
    <xf numFmtId="9" fontId="56" fillId="0" borderId="0" applyFont="0" applyFill="0" applyBorder="0" applyAlignment="0" applyProtection="0"/>
    <xf numFmtId="0" fontId="11" fillId="26" borderId="45">
      <alignment vertical="center"/>
      <protection locked="0"/>
    </xf>
    <xf numFmtId="0" fontId="57" fillId="0" borderId="0">
      <protection locked="0"/>
    </xf>
  </cellStyleXfs>
  <cellXfs count="369">
    <xf numFmtId="0" fontId="0" fillId="0" borderId="0" xfId="0"/>
    <xf numFmtId="0" fontId="10" fillId="0" borderId="0" xfId="0" applyFont="1" applyFill="1" applyBorder="1" applyProtection="1">
      <protection hidden="1"/>
    </xf>
    <xf numFmtId="0" fontId="11" fillId="0" borderId="0" xfId="0" applyFont="1" applyFill="1" applyBorder="1" applyProtection="1">
      <protection hidden="1"/>
    </xf>
    <xf numFmtId="165" fontId="24" fillId="3" borderId="0" xfId="1" applyFont="1" applyFill="1" applyBorder="1" applyAlignment="1" applyProtection="1">
      <alignment vertical="top"/>
      <protection hidden="1"/>
    </xf>
    <xf numFmtId="1" fontId="25" fillId="3" borderId="0" xfId="1" applyNumberFormat="1" applyFont="1" applyFill="1" applyBorder="1" applyAlignment="1" applyProtection="1">
      <alignment horizontal="left" vertical="top" wrapText="1"/>
      <protection hidden="1"/>
    </xf>
    <xf numFmtId="1" fontId="25" fillId="0" borderId="0" xfId="1" applyNumberFormat="1" applyFont="1" applyFill="1" applyBorder="1" applyAlignment="1" applyProtection="1">
      <alignment horizontal="left" vertical="top" wrapText="1"/>
      <protection hidden="1"/>
    </xf>
    <xf numFmtId="0" fontId="2" fillId="0" borderId="0" xfId="0" applyFont="1" applyFill="1" applyAlignment="1" applyProtection="1">
      <alignment horizontal="center" vertical="center"/>
      <protection hidden="1"/>
    </xf>
    <xf numFmtId="0" fontId="19" fillId="0" borderId="0" xfId="0" applyFont="1" applyFill="1" applyAlignment="1" applyProtection="1">
      <alignment horizontal="center" vertical="center"/>
      <protection hidden="1"/>
    </xf>
    <xf numFmtId="0" fontId="0" fillId="0" borderId="0" xfId="0" applyAlignment="1" applyProtection="1">
      <alignment horizontal="center" vertical="center"/>
      <protection hidden="1"/>
    </xf>
    <xf numFmtId="0" fontId="2"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0" fillId="0" borderId="0" xfId="0" applyProtection="1">
      <protection hidden="1"/>
    </xf>
    <xf numFmtId="0" fontId="50" fillId="4" borderId="21" xfId="2" applyFont="1" applyBorder="1" applyAlignment="1" applyProtection="1">
      <alignment horizontal="left" vertical="center" wrapText="1"/>
      <protection hidden="1"/>
    </xf>
    <xf numFmtId="0" fontId="27" fillId="0" borderId="0" xfId="0" applyNumberFormat="1" applyFont="1" applyFill="1" applyAlignment="1" applyProtection="1">
      <alignment horizontal="left" vertical="center" wrapText="1"/>
      <protection hidden="1"/>
    </xf>
    <xf numFmtId="0" fontId="4" fillId="7" borderId="0" xfId="0" applyFont="1" applyFill="1" applyBorder="1" applyAlignment="1" applyProtection="1">
      <alignment horizontal="center" vertical="center" wrapText="1"/>
      <protection hidden="1"/>
    </xf>
    <xf numFmtId="0" fontId="21" fillId="0" borderId="0" xfId="0" applyFont="1" applyFill="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 fillId="0" borderId="0" xfId="0" applyFont="1" applyFill="1" applyAlignment="1" applyProtection="1">
      <alignment vertical="center"/>
      <protection hidden="1"/>
    </xf>
    <xf numFmtId="0" fontId="3" fillId="0" borderId="0" xfId="0" applyFont="1" applyFill="1" applyAlignment="1" applyProtection="1">
      <alignment vertical="center"/>
      <protection hidden="1"/>
    </xf>
    <xf numFmtId="0" fontId="50" fillId="4" borderId="23" xfId="2" applyFont="1" applyBorder="1" applyAlignment="1" applyProtection="1">
      <alignment horizontal="left" vertical="center" wrapText="1"/>
      <protection hidden="1"/>
    </xf>
    <xf numFmtId="0" fontId="28" fillId="0" borderId="0" xfId="0" applyNumberFormat="1" applyFont="1" applyFill="1" applyAlignment="1" applyProtection="1">
      <alignment horizontal="left" vertical="center" wrapText="1"/>
      <protection hidden="1"/>
    </xf>
    <xf numFmtId="0" fontId="1" fillId="0" borderId="0" xfId="0" applyFont="1" applyFill="1" applyAlignment="1" applyProtection="1">
      <alignment horizontal="center" vertical="center"/>
      <protection hidden="1"/>
    </xf>
    <xf numFmtId="0" fontId="2" fillId="0" borderId="0" xfId="0" applyFont="1" applyAlignment="1" applyProtection="1">
      <alignment horizontal="left" vertical="center" wrapText="1"/>
      <protection hidden="1"/>
    </xf>
    <xf numFmtId="0" fontId="2" fillId="0" borderId="0" xfId="0" applyFont="1" applyAlignment="1" applyProtection="1">
      <alignment horizontal="center" vertical="center"/>
      <protection hidden="1"/>
    </xf>
    <xf numFmtId="0" fontId="4" fillId="7" borderId="0" xfId="0" applyFont="1" applyFill="1" applyBorder="1" applyAlignment="1" applyProtection="1">
      <alignment horizontal="left" vertical="center" wrapText="1"/>
      <protection hidden="1"/>
    </xf>
    <xf numFmtId="0" fontId="26" fillId="0" borderId="0" xfId="0" applyFont="1" applyFill="1" applyAlignment="1" applyProtection="1">
      <alignment horizontal="center" vertical="center"/>
      <protection hidden="1"/>
    </xf>
    <xf numFmtId="0" fontId="0" fillId="0" borderId="0" xfId="0" applyFont="1" applyFill="1" applyAlignment="1" applyProtection="1">
      <alignment horizontal="left" vertical="center"/>
      <protection hidden="1"/>
    </xf>
    <xf numFmtId="0" fontId="5" fillId="8" borderId="7" xfId="0" applyFont="1" applyFill="1" applyBorder="1" applyAlignment="1" applyProtection="1">
      <alignment horizontal="left" vertical="center" wrapText="1"/>
      <protection hidden="1"/>
    </xf>
    <xf numFmtId="0" fontId="4" fillId="8" borderId="7" xfId="0" applyFont="1" applyFill="1" applyBorder="1" applyAlignment="1" applyProtection="1">
      <alignment horizontal="left" vertical="center" wrapText="1"/>
      <protection hidden="1"/>
    </xf>
    <xf numFmtId="0" fontId="4" fillId="8" borderId="7" xfId="0" applyFont="1" applyFill="1" applyBorder="1" applyAlignment="1" applyProtection="1">
      <alignment horizontal="center" vertical="center" wrapText="1"/>
      <protection hidden="1"/>
    </xf>
    <xf numFmtId="164" fontId="0" fillId="4" borderId="4" xfId="2" applyNumberFormat="1" applyFont="1" applyAlignment="1" applyProtection="1">
      <alignment horizontal="center" vertical="center"/>
      <protection hidden="1"/>
    </xf>
    <xf numFmtId="0" fontId="0" fillId="4" borderId="4" xfId="2" applyFont="1" applyBorder="1" applyAlignment="1" applyProtection="1">
      <alignment horizontal="center" vertical="center"/>
      <protection hidden="1"/>
    </xf>
    <xf numFmtId="0" fontId="0" fillId="3" borderId="9" xfId="0" applyFont="1" applyFill="1" applyBorder="1" applyAlignment="1" applyProtection="1">
      <alignment horizontal="center" vertical="center"/>
      <protection locked="0" hidden="1"/>
    </xf>
    <xf numFmtId="0" fontId="26" fillId="3" borderId="0" xfId="0" applyFont="1" applyFill="1" applyBorder="1" applyAlignment="1" applyProtection="1">
      <alignment horizontal="center" vertical="center"/>
      <protection hidden="1"/>
    </xf>
    <xf numFmtId="0" fontId="13" fillId="7" borderId="0" xfId="0" applyNumberFormat="1" applyFont="1" applyFill="1" applyBorder="1" applyAlignment="1" applyProtection="1">
      <alignment horizontal="center" vertical="center"/>
      <protection hidden="1"/>
    </xf>
    <xf numFmtId="0" fontId="13" fillId="7" borderId="0" xfId="0" applyFont="1" applyFill="1" applyBorder="1" applyAlignment="1" applyProtection="1">
      <alignment horizontal="center" vertical="center"/>
      <protection hidden="1"/>
    </xf>
    <xf numFmtId="0" fontId="0" fillId="0" borderId="0" xfId="0" applyFont="1" applyFill="1" applyBorder="1" applyAlignment="1" applyProtection="1">
      <alignment vertical="center"/>
      <protection hidden="1"/>
    </xf>
    <xf numFmtId="164" fontId="0" fillId="4" borderId="7" xfId="2" applyNumberFormat="1" applyFont="1" applyBorder="1" applyAlignment="1" applyProtection="1">
      <alignment horizontal="center" vertical="center"/>
      <protection hidden="1"/>
    </xf>
    <xf numFmtId="0" fontId="0" fillId="4" borderId="7" xfId="2" applyFont="1" applyBorder="1" applyAlignment="1" applyProtection="1">
      <alignment horizontal="center" vertical="center"/>
      <protection hidden="1"/>
    </xf>
    <xf numFmtId="0" fontId="0" fillId="3" borderId="9" xfId="3" applyFont="1" applyFill="1" applyBorder="1" applyAlignment="1" applyProtection="1">
      <alignment horizontal="center" vertical="center"/>
      <protection locked="0" hidden="1"/>
    </xf>
    <xf numFmtId="164" fontId="9" fillId="4" borderId="4" xfId="2" applyNumberFormat="1" applyAlignment="1" applyProtection="1">
      <alignment horizontal="center" vertical="center"/>
      <protection hidden="1"/>
    </xf>
    <xf numFmtId="0" fontId="9" fillId="4" borderId="4" xfId="2" applyAlignment="1" applyProtection="1">
      <alignment horizontal="left" vertical="center" wrapText="1"/>
      <protection hidden="1"/>
    </xf>
    <xf numFmtId="0" fontId="9" fillId="4" borderId="4" xfId="2" applyAlignment="1" applyProtection="1">
      <alignment horizontal="center" vertical="center"/>
      <protection hidden="1"/>
    </xf>
    <xf numFmtId="0" fontId="0" fillId="4" borderId="12" xfId="2" applyFont="1" applyBorder="1" applyAlignment="1" applyProtection="1">
      <alignment horizontal="center" vertical="center"/>
      <protection hidden="1"/>
    </xf>
    <xf numFmtId="0" fontId="0" fillId="3" borderId="10" xfId="3" applyFont="1" applyFill="1" applyBorder="1" applyAlignment="1" applyProtection="1">
      <alignment horizontal="center" vertical="center"/>
      <protection locked="0" hidden="1"/>
    </xf>
    <xf numFmtId="0" fontId="0" fillId="3" borderId="5" xfId="5" applyFont="1" applyFill="1" applyBorder="1" applyAlignment="1" applyProtection="1">
      <alignment horizontal="center" vertical="center"/>
      <protection locked="0" hidden="1"/>
    </xf>
    <xf numFmtId="0" fontId="0" fillId="4" borderId="4" xfId="2" applyFont="1" applyAlignment="1" applyProtection="1">
      <alignment horizontal="left" vertical="top" wrapText="1"/>
      <protection hidden="1"/>
    </xf>
    <xf numFmtId="0" fontId="4" fillId="7" borderId="6" xfId="4" applyFont="1" applyBorder="1" applyAlignment="1" applyProtection="1">
      <alignment horizontal="left" vertical="center" wrapText="1"/>
      <protection hidden="1"/>
    </xf>
    <xf numFmtId="0" fontId="4" fillId="7" borderId="6" xfId="4" applyFont="1" applyBorder="1" applyAlignment="1" applyProtection="1">
      <alignment horizontal="center" vertical="center" wrapText="1"/>
      <protection hidden="1"/>
    </xf>
    <xf numFmtId="0" fontId="4" fillId="7" borderId="0" xfId="4" applyFont="1" applyBorder="1" applyAlignment="1" applyProtection="1">
      <alignment horizontal="center" vertical="center" wrapText="1"/>
      <protection hidden="1"/>
    </xf>
    <xf numFmtId="0" fontId="4" fillId="0" borderId="0" xfId="4" applyFont="1" applyFill="1" applyBorder="1" applyAlignment="1" applyProtection="1">
      <alignment horizontal="center" vertical="center" wrapText="1"/>
      <protection hidden="1"/>
    </xf>
    <xf numFmtId="0" fontId="0"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left" vertical="center" wrapText="1"/>
      <protection hidden="1"/>
    </xf>
    <xf numFmtId="0" fontId="0" fillId="3" borderId="0" xfId="0" applyFont="1" applyFill="1" applyBorder="1" applyAlignment="1" applyProtection="1">
      <alignment horizontal="left" vertical="center" wrapText="1"/>
      <protection hidden="1"/>
    </xf>
    <xf numFmtId="164" fontId="20" fillId="0" borderId="0"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horizontal="left" vertical="center"/>
      <protection hidden="1"/>
    </xf>
    <xf numFmtId="0" fontId="10" fillId="0" borderId="0" xfId="0" applyFont="1" applyFill="1" applyBorder="1" applyAlignment="1" applyProtection="1">
      <alignment horizontal="center" vertical="center"/>
      <protection hidden="1"/>
    </xf>
    <xf numFmtId="0" fontId="0" fillId="3" borderId="0"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wrapText="1"/>
      <protection hidden="1"/>
    </xf>
    <xf numFmtId="0" fontId="5" fillId="0" borderId="0" xfId="0" applyFont="1" applyFill="1" applyBorder="1" applyAlignment="1" applyProtection="1">
      <alignment horizontal="left" vertical="center" wrapText="1"/>
      <protection hidden="1"/>
    </xf>
    <xf numFmtId="164" fontId="0" fillId="4" borderId="4" xfId="2" applyNumberFormat="1" applyFont="1" applyBorder="1" applyAlignment="1" applyProtection="1">
      <alignment horizontal="center" vertical="center"/>
      <protection hidden="1"/>
    </xf>
    <xf numFmtId="0" fontId="0" fillId="4" borderId="4" xfId="2" applyFont="1" applyBorder="1" applyAlignment="1" applyProtection="1">
      <alignment horizontal="left" vertical="center"/>
      <protection hidden="1"/>
    </xf>
    <xf numFmtId="0" fontId="0" fillId="4" borderId="39" xfId="2" applyFont="1" applyBorder="1" applyAlignment="1" applyProtection="1">
      <alignment horizontal="center" vertical="center"/>
      <protection hidden="1"/>
    </xf>
    <xf numFmtId="0" fontId="0" fillId="3" borderId="2" xfId="0" applyFont="1" applyFill="1" applyBorder="1" applyAlignment="1" applyProtection="1">
      <alignment horizontal="center" vertical="center"/>
      <protection locked="0" hidden="1"/>
    </xf>
    <xf numFmtId="0" fontId="0" fillId="0" borderId="0" xfId="0" applyFont="1" applyFill="1" applyAlignment="1" applyProtection="1">
      <alignment vertical="center"/>
      <protection hidden="1"/>
    </xf>
    <xf numFmtId="0" fontId="0" fillId="4" borderId="4" xfId="2" applyFont="1" applyAlignment="1" applyProtection="1">
      <alignment horizontal="left" vertical="center"/>
      <protection hidden="1"/>
    </xf>
    <xf numFmtId="0" fontId="0" fillId="4" borderId="4" xfId="2" applyFont="1" applyAlignment="1" applyProtection="1">
      <alignment horizontal="center" vertical="center"/>
      <protection hidden="1"/>
    </xf>
    <xf numFmtId="0" fontId="0" fillId="4" borderId="6" xfId="2" applyFont="1" applyBorder="1" applyAlignment="1" applyProtection="1">
      <alignment horizontal="left" vertical="center"/>
      <protection hidden="1"/>
    </xf>
    <xf numFmtId="0" fontId="0" fillId="4" borderId="6" xfId="2" applyFont="1" applyBorder="1" applyAlignment="1" applyProtection="1">
      <alignment horizontal="center" vertical="center"/>
      <protection hidden="1"/>
    </xf>
    <xf numFmtId="0" fontId="2" fillId="0" borderId="0" xfId="0" applyFont="1" applyFill="1" applyAlignment="1" applyProtection="1">
      <alignment horizontal="left" vertical="center"/>
      <protection hidden="1"/>
    </xf>
    <xf numFmtId="0" fontId="19" fillId="0" borderId="0" xfId="0" applyFont="1" applyFill="1" applyAlignment="1" applyProtection="1">
      <alignment vertical="center"/>
      <protection hidden="1"/>
    </xf>
    <xf numFmtId="0" fontId="26" fillId="0" borderId="0" xfId="0" applyFont="1" applyFill="1" applyBorder="1" applyAlignment="1" applyProtection="1">
      <alignment horizontal="center" vertical="center" wrapText="1"/>
      <protection hidden="1"/>
    </xf>
    <xf numFmtId="0" fontId="7" fillId="0" borderId="0" xfId="0" applyFont="1" applyFill="1" applyAlignment="1" applyProtection="1">
      <alignment vertical="center"/>
      <protection hidden="1"/>
    </xf>
    <xf numFmtId="0" fontId="14" fillId="9" borderId="14" xfId="5" applyBorder="1" applyAlignment="1" applyProtection="1">
      <alignment horizontal="center" vertical="center"/>
      <protection locked="0" hidden="1"/>
    </xf>
    <xf numFmtId="0" fontId="26" fillId="0" borderId="20" xfId="0" applyFont="1" applyFill="1" applyBorder="1" applyAlignment="1" applyProtection="1">
      <alignment horizontal="center" vertical="center"/>
      <protection hidden="1"/>
    </xf>
    <xf numFmtId="0" fontId="14" fillId="9" borderId="11" xfId="5" applyBorder="1" applyAlignment="1" applyProtection="1">
      <alignment horizontal="center" vertical="center"/>
      <protection locked="0" hidden="1"/>
    </xf>
    <xf numFmtId="0" fontId="9" fillId="3" borderId="11" xfId="5" applyFont="1" applyFill="1" applyBorder="1" applyAlignment="1" applyProtection="1">
      <alignment horizontal="center" vertical="center"/>
      <protection locked="0" hidden="1"/>
    </xf>
    <xf numFmtId="0" fontId="14" fillId="9" borderId="19" xfId="5" applyBorder="1" applyAlignment="1" applyProtection="1">
      <alignment horizontal="center" vertical="center"/>
      <protection locked="0" hidden="1"/>
    </xf>
    <xf numFmtId="0" fontId="26" fillId="0" borderId="0" xfId="0" applyFont="1" applyFill="1" applyBorder="1" applyAlignment="1" applyProtection="1">
      <alignment horizontal="center" vertical="center"/>
      <protection hidden="1"/>
    </xf>
    <xf numFmtId="0" fontId="26" fillId="0" borderId="0" xfId="0" applyFont="1" applyProtection="1">
      <protection hidden="1"/>
    </xf>
    <xf numFmtId="0" fontId="4" fillId="2" borderId="7" xfId="0" applyFont="1" applyFill="1" applyBorder="1" applyAlignment="1" applyProtection="1">
      <alignment horizontal="left" vertical="center" wrapText="1"/>
      <protection hidden="1"/>
    </xf>
    <xf numFmtId="0" fontId="4" fillId="2" borderId="7" xfId="0" applyFont="1" applyFill="1" applyBorder="1" applyAlignment="1" applyProtection="1">
      <alignment vertical="center" wrapText="1"/>
      <protection hidden="1"/>
    </xf>
    <xf numFmtId="0" fontId="14" fillId="9" borderId="7" xfId="5" applyBorder="1" applyAlignment="1" applyProtection="1">
      <alignment horizontal="center" vertical="center"/>
      <protection hidden="1"/>
    </xf>
    <xf numFmtId="0" fontId="14" fillId="9" borderId="7" xfId="5" applyBorder="1" applyAlignment="1" applyProtection="1">
      <alignment horizontal="left" vertical="center"/>
      <protection hidden="1"/>
    </xf>
    <xf numFmtId="0" fontId="14" fillId="9" borderId="8" xfId="5" applyBorder="1" applyAlignment="1" applyProtection="1">
      <alignment horizontal="center" vertical="center"/>
      <protection hidden="1"/>
    </xf>
    <xf numFmtId="0" fontId="14" fillId="9" borderId="4" xfId="5" applyAlignment="1" applyProtection="1">
      <alignment horizontal="center" vertical="center"/>
      <protection hidden="1"/>
    </xf>
    <xf numFmtId="0" fontId="14" fillId="9" borderId="4" xfId="5" applyAlignment="1" applyProtection="1">
      <alignment horizontal="left" vertical="center"/>
      <protection hidden="1"/>
    </xf>
    <xf numFmtId="0" fontId="14" fillId="9" borderId="12" xfId="5" applyBorder="1" applyAlignment="1" applyProtection="1">
      <alignment horizontal="center" vertical="center"/>
      <protection hidden="1"/>
    </xf>
    <xf numFmtId="0" fontId="14" fillId="9" borderId="6" xfId="5" applyBorder="1" applyAlignment="1" applyProtection="1">
      <alignment horizontal="center" vertical="center"/>
      <protection hidden="1"/>
    </xf>
    <xf numFmtId="0" fontId="14" fillId="9" borderId="6" xfId="5" applyBorder="1" applyAlignment="1" applyProtection="1">
      <alignment horizontal="left" vertical="center"/>
      <protection hidden="1"/>
    </xf>
    <xf numFmtId="0" fontId="14" fillId="9" borderId="13" xfId="5" applyBorder="1" applyAlignment="1" applyProtection="1">
      <alignment horizontal="center" vertical="center"/>
      <protection hidden="1"/>
    </xf>
    <xf numFmtId="0" fontId="14" fillId="9" borderId="7" xfId="5" applyBorder="1" applyAlignment="1" applyProtection="1">
      <alignment horizontal="center" vertical="center"/>
      <protection locked="0" hidden="1"/>
    </xf>
    <xf numFmtId="0" fontId="14" fillId="9" borderId="4" xfId="5" applyAlignment="1" applyProtection="1">
      <alignment horizontal="center" vertical="center"/>
      <protection locked="0" hidden="1"/>
    </xf>
    <xf numFmtId="0" fontId="14" fillId="9" borderId="6" xfId="5" applyBorder="1" applyAlignment="1" applyProtection="1">
      <alignment horizontal="center" vertical="center"/>
      <protection locked="0" hidden="1"/>
    </xf>
    <xf numFmtId="0" fontId="9" fillId="4" borderId="37" xfId="2" applyFont="1" applyBorder="1" applyAlignment="1" applyProtection="1">
      <alignment horizontal="center" vertical="center" wrapText="1"/>
      <protection hidden="1"/>
    </xf>
    <xf numFmtId="0" fontId="9" fillId="3" borderId="5" xfId="5" applyFont="1" applyFill="1" applyBorder="1" applyAlignment="1" applyProtection="1">
      <alignment horizontal="center" vertical="center"/>
      <protection locked="0" hidden="1"/>
    </xf>
    <xf numFmtId="164" fontId="9" fillId="4" borderId="7" xfId="2" applyNumberFormat="1" applyBorder="1" applyAlignment="1" applyProtection="1">
      <alignment horizontal="center" vertical="center"/>
      <protection hidden="1"/>
    </xf>
    <xf numFmtId="0" fontId="9" fillId="4" borderId="7" xfId="2" applyBorder="1" applyAlignment="1" applyProtection="1">
      <alignment horizontal="left" vertical="center"/>
      <protection hidden="1"/>
    </xf>
    <xf numFmtId="0" fontId="9" fillId="3" borderId="14" xfId="5" applyFont="1" applyFill="1" applyBorder="1" applyAlignment="1" applyProtection="1">
      <alignment horizontal="center" vertical="center"/>
      <protection locked="0" hidden="1"/>
    </xf>
    <xf numFmtId="0" fontId="9" fillId="4" borderId="4" xfId="2" applyAlignment="1" applyProtection="1">
      <alignment horizontal="left" vertical="center"/>
      <protection hidden="1"/>
    </xf>
    <xf numFmtId="164" fontId="9" fillId="4" borderId="6" xfId="2" applyNumberFormat="1" applyBorder="1" applyAlignment="1" applyProtection="1">
      <alignment horizontal="center" vertical="center"/>
      <protection hidden="1"/>
    </xf>
    <xf numFmtId="0" fontId="9" fillId="4" borderId="6" xfId="2" applyBorder="1" applyAlignment="1" applyProtection="1">
      <alignment horizontal="left" vertical="center"/>
      <protection hidden="1"/>
    </xf>
    <xf numFmtId="0" fontId="9" fillId="3" borderId="19" xfId="5" applyFont="1" applyFill="1" applyBorder="1" applyAlignment="1" applyProtection="1">
      <alignment horizontal="center" vertical="center"/>
      <protection locked="0" hidden="1"/>
    </xf>
    <xf numFmtId="0" fontId="17" fillId="4" borderId="38" xfId="2" applyFont="1" applyBorder="1" applyAlignment="1" applyProtection="1">
      <alignment horizontal="left" vertical="center"/>
      <protection hidden="1"/>
    </xf>
    <xf numFmtId="0" fontId="2" fillId="0" borderId="0" xfId="0" applyFont="1" applyFill="1" applyBorder="1" applyAlignment="1" applyProtection="1">
      <alignment horizontal="center" vertical="center"/>
      <protection hidden="1"/>
    </xf>
    <xf numFmtId="0" fontId="2" fillId="0" borderId="0" xfId="0" applyFont="1" applyFill="1" applyBorder="1" applyAlignment="1" applyProtection="1">
      <alignment horizontal="left" vertical="center"/>
      <protection hidden="1"/>
    </xf>
    <xf numFmtId="0" fontId="2" fillId="0" borderId="0" xfId="0" applyFont="1" applyFill="1" applyBorder="1" applyAlignment="1" applyProtection="1">
      <alignment vertical="center"/>
      <protection hidden="1"/>
    </xf>
    <xf numFmtId="0" fontId="5" fillId="2" borderId="7" xfId="0" applyNumberFormat="1" applyFont="1" applyFill="1" applyBorder="1" applyAlignment="1" applyProtection="1">
      <alignment horizontal="center" vertical="center" wrapText="1"/>
      <protection hidden="1"/>
    </xf>
    <xf numFmtId="0" fontId="5" fillId="2" borderId="0" xfId="0" applyNumberFormat="1"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vertical="center"/>
      <protection hidden="1"/>
    </xf>
    <xf numFmtId="0" fontId="0" fillId="4" borderId="7" xfId="2" applyFont="1" applyBorder="1" applyAlignment="1" applyProtection="1">
      <alignment horizontal="left" vertical="top" wrapText="1"/>
      <protection hidden="1"/>
    </xf>
    <xf numFmtId="0" fontId="9" fillId="4" borderId="4" xfId="2" applyFont="1" applyAlignment="1" applyProtection="1">
      <alignment horizontal="left" vertical="center" wrapText="1"/>
      <protection hidden="1"/>
    </xf>
    <xf numFmtId="0" fontId="0" fillId="4" borderId="6" xfId="2" applyFont="1" applyBorder="1" applyAlignment="1" applyProtection="1">
      <alignment horizontal="left" vertical="top" wrapText="1"/>
      <protection hidden="1"/>
    </xf>
    <xf numFmtId="0" fontId="0" fillId="0" borderId="0" xfId="0" applyFill="1" applyProtection="1">
      <protection hidden="1"/>
    </xf>
    <xf numFmtId="0" fontId="0" fillId="0" borderId="0" xfId="0" applyFill="1" applyAlignment="1" applyProtection="1">
      <alignment horizontal="center" vertical="center"/>
      <protection hidden="1"/>
    </xf>
    <xf numFmtId="165" fontId="12" fillId="3" borderId="0" xfId="7" applyFont="1" applyFill="1" applyAlignment="1" applyProtection="1">
      <alignment horizontal="left" vertical="center"/>
      <protection hidden="1"/>
    </xf>
    <xf numFmtId="0" fontId="10" fillId="0" borderId="0" xfId="0" applyFont="1" applyFill="1" applyProtection="1">
      <protection hidden="1"/>
    </xf>
    <xf numFmtId="0" fontId="4" fillId="8" borderId="0" xfId="0" applyFont="1" applyFill="1" applyBorder="1" applyAlignment="1" applyProtection="1">
      <alignment vertical="center" wrapText="1"/>
      <protection hidden="1"/>
    </xf>
    <xf numFmtId="1" fontId="4" fillId="8" borderId="0" xfId="0" applyNumberFormat="1" applyFont="1" applyFill="1" applyBorder="1" applyAlignment="1" applyProtection="1">
      <alignment horizontal="left" vertical="center" wrapText="1"/>
      <protection hidden="1"/>
    </xf>
    <xf numFmtId="0" fontId="17" fillId="0" borderId="4" xfId="2" applyFont="1" applyFill="1" applyAlignment="1" applyProtection="1">
      <alignment vertical="center" wrapText="1"/>
      <protection hidden="1"/>
    </xf>
    <xf numFmtId="1" fontId="18" fillId="3" borderId="3" xfId="1" applyNumberFormat="1" applyFont="1" applyFill="1" applyBorder="1" applyAlignment="1" applyProtection="1">
      <alignment horizontal="left" vertical="center" wrapText="1"/>
      <protection hidden="1"/>
    </xf>
    <xf numFmtId="1" fontId="46" fillId="3" borderId="12" xfId="1" applyNumberFormat="1" applyFont="1" applyFill="1" applyBorder="1" applyAlignment="1" applyProtection="1">
      <alignment horizontal="left" vertical="center" wrapText="1"/>
      <protection locked="0" hidden="1"/>
    </xf>
    <xf numFmtId="0" fontId="0" fillId="0" borderId="0" xfId="0" applyAlignment="1" applyProtection="1">
      <alignment wrapText="1"/>
      <protection hidden="1"/>
    </xf>
    <xf numFmtId="0" fontId="17" fillId="0" borderId="42" xfId="0" applyFont="1" applyBorder="1" applyAlignment="1" applyProtection="1">
      <alignment wrapText="1"/>
      <protection hidden="1"/>
    </xf>
    <xf numFmtId="0" fontId="0" fillId="0" borderId="42" xfId="0" applyBorder="1" applyAlignment="1" applyProtection="1">
      <alignment wrapText="1"/>
      <protection hidden="1"/>
    </xf>
    <xf numFmtId="0" fontId="17" fillId="4" borderId="37" xfId="2" applyFont="1" applyBorder="1" applyAlignment="1" applyProtection="1">
      <alignment vertical="center" wrapText="1"/>
      <protection hidden="1"/>
    </xf>
    <xf numFmtId="0" fontId="9" fillId="6" borderId="4" xfId="5" applyFont="1" applyFill="1" applyAlignment="1" applyProtection="1">
      <alignment horizontal="center" vertical="center"/>
      <protection hidden="1"/>
    </xf>
    <xf numFmtId="0" fontId="9" fillId="6" borderId="6" xfId="5" applyFont="1" applyFill="1" applyBorder="1" applyAlignment="1" applyProtection="1">
      <alignment horizontal="center" vertical="center"/>
      <protection hidden="1"/>
    </xf>
    <xf numFmtId="0" fontId="9" fillId="24" borderId="7" xfId="5" applyFont="1" applyFill="1" applyBorder="1" applyAlignment="1" applyProtection="1">
      <alignment horizontal="center" vertical="center"/>
      <protection hidden="1"/>
    </xf>
    <xf numFmtId="0" fontId="9" fillId="24" borderId="7" xfId="5" applyFont="1" applyFill="1" applyBorder="1" applyAlignment="1" applyProtection="1">
      <alignment horizontal="left" vertical="center"/>
      <protection hidden="1"/>
    </xf>
    <xf numFmtId="0" fontId="9" fillId="24" borderId="4" xfId="5" applyFont="1" applyFill="1" applyAlignment="1" applyProtection="1">
      <alignment horizontal="center" vertical="center"/>
      <protection hidden="1"/>
    </xf>
    <xf numFmtId="0" fontId="9" fillId="24" borderId="4" xfId="5" applyFont="1" applyFill="1" applyAlignment="1" applyProtection="1">
      <alignment horizontal="left" vertical="center"/>
      <protection hidden="1"/>
    </xf>
    <xf numFmtId="0" fontId="17" fillId="0" borderId="42" xfId="0" applyFont="1" applyFill="1" applyBorder="1" applyAlignment="1" applyProtection="1">
      <alignment wrapText="1"/>
      <protection hidden="1"/>
    </xf>
    <xf numFmtId="0" fontId="0" fillId="0" borderId="42" xfId="0" applyFill="1" applyBorder="1" applyAlignment="1" applyProtection="1">
      <alignment wrapText="1"/>
      <protection hidden="1"/>
    </xf>
    <xf numFmtId="0" fontId="0" fillId="4" borderId="37" xfId="2" applyFont="1" applyBorder="1" applyAlignment="1" applyProtection="1">
      <alignment horizontal="center" vertical="center" wrapText="1"/>
      <protection hidden="1"/>
    </xf>
    <xf numFmtId="0" fontId="0" fillId="0" borderId="42" xfId="0" applyBorder="1" applyProtection="1">
      <protection hidden="1"/>
    </xf>
    <xf numFmtId="0" fontId="4" fillId="7" borderId="0" xfId="4" applyFont="1" applyAlignment="1" applyProtection="1">
      <alignment horizontal="left" vertical="center" wrapText="1"/>
      <protection hidden="1"/>
    </xf>
    <xf numFmtId="0" fontId="0" fillId="0" borderId="0" xfId="0" applyFont="1" applyProtection="1">
      <protection hidden="1"/>
    </xf>
    <xf numFmtId="9" fontId="10" fillId="0" borderId="0" xfId="221" applyFont="1" applyFill="1" applyAlignment="1" applyProtection="1">
      <alignment horizontal="center" vertical="center" wrapText="1"/>
      <protection hidden="1"/>
    </xf>
    <xf numFmtId="0" fontId="10" fillId="0" borderId="0" xfId="0" applyFont="1" applyFill="1" applyAlignment="1" applyProtection="1">
      <alignment horizontal="center" vertical="center" wrapText="1"/>
      <protection hidden="1"/>
    </xf>
    <xf numFmtId="0" fontId="0" fillId="0" borderId="0" xfId="0" applyFont="1" applyFill="1" applyProtection="1">
      <protection hidden="1"/>
    </xf>
    <xf numFmtId="0" fontId="4" fillId="0" borderId="0" xfId="4" applyFill="1" applyAlignment="1" applyProtection="1">
      <alignment horizontal="left" vertical="center" wrapText="1"/>
      <protection hidden="1"/>
    </xf>
    <xf numFmtId="0" fontId="4" fillId="0" borderId="0" xfId="4" applyFill="1" applyAlignment="1" applyProtection="1">
      <alignment horizontal="center" vertical="center" wrapText="1"/>
      <protection hidden="1"/>
    </xf>
    <xf numFmtId="0" fontId="20" fillId="7" borderId="0" xfId="0" applyFont="1" applyFill="1" applyBorder="1" applyAlignment="1" applyProtection="1">
      <alignment horizontal="center" vertical="center"/>
      <protection hidden="1"/>
    </xf>
    <xf numFmtId="0" fontId="17" fillId="7" borderId="0" xfId="0" applyFont="1" applyFill="1" applyBorder="1" applyAlignment="1" applyProtection="1">
      <alignment horizontal="center" vertical="center"/>
      <protection hidden="1"/>
    </xf>
    <xf numFmtId="0" fontId="17" fillId="24" borderId="0" xfId="0" applyFont="1" applyFill="1" applyBorder="1" applyAlignment="1" applyProtection="1">
      <alignment horizontal="center" vertical="center"/>
      <protection hidden="1"/>
    </xf>
    <xf numFmtId="164" fontId="17" fillId="24" borderId="0" xfId="0" applyNumberFormat="1" applyFont="1" applyFill="1" applyBorder="1" applyAlignment="1" applyProtection="1">
      <alignment horizontal="center" vertical="center"/>
      <protection hidden="1"/>
    </xf>
    <xf numFmtId="0" fontId="15" fillId="24" borderId="0" xfId="221" applyNumberFormat="1" applyFont="1" applyFill="1" applyAlignment="1" applyProtection="1">
      <alignment horizontal="center" vertical="center"/>
      <protection hidden="1"/>
    </xf>
    <xf numFmtId="164" fontId="15" fillId="24" borderId="0" xfId="221" applyNumberFormat="1" applyFont="1" applyFill="1" applyAlignment="1" applyProtection="1">
      <alignment horizontal="center" vertical="center"/>
      <protection hidden="1"/>
    </xf>
    <xf numFmtId="0" fontId="9" fillId="4" borderId="4" xfId="2" applyFont="1" applyBorder="1" applyAlignment="1" applyProtection="1">
      <alignment horizontal="left" vertical="center" wrapText="1"/>
      <protection hidden="1"/>
    </xf>
    <xf numFmtId="0" fontId="9" fillId="4" borderId="4" xfId="2" applyFont="1" applyBorder="1" applyAlignment="1" applyProtection="1">
      <alignment horizontal="center" vertical="center" wrapText="1"/>
      <protection hidden="1"/>
    </xf>
    <xf numFmtId="0" fontId="0" fillId="24" borderId="4" xfId="2" applyFont="1" applyFill="1" applyBorder="1" applyAlignment="1" applyProtection="1">
      <alignment horizontal="left" vertical="center" wrapText="1"/>
      <protection hidden="1"/>
    </xf>
    <xf numFmtId="0" fontId="9" fillId="24" borderId="4" xfId="2" applyFont="1" applyFill="1" applyBorder="1" applyAlignment="1" applyProtection="1">
      <alignment horizontal="center" vertical="center" wrapText="1"/>
      <protection hidden="1"/>
    </xf>
    <xf numFmtId="0" fontId="9" fillId="24" borderId="12" xfId="2" applyFont="1" applyFill="1" applyBorder="1" applyAlignment="1" applyProtection="1">
      <alignment horizontal="left" vertical="center" wrapText="1"/>
      <protection hidden="1"/>
    </xf>
    <xf numFmtId="0" fontId="9" fillId="4" borderId="12" xfId="2" applyBorder="1" applyAlignment="1" applyProtection="1">
      <alignment horizontal="left" vertical="center" wrapText="1"/>
      <protection hidden="1"/>
    </xf>
    <xf numFmtId="0" fontId="8" fillId="0" borderId="0" xfId="0" applyFont="1" applyFill="1" applyAlignment="1" applyProtection="1">
      <alignment horizontal="center" vertical="center" wrapText="1"/>
      <protection hidden="1"/>
    </xf>
    <xf numFmtId="0" fontId="2" fillId="0" borderId="0" xfId="0" applyFont="1" applyAlignment="1" applyProtection="1">
      <alignment horizontal="right" vertical="center"/>
      <protection hidden="1"/>
    </xf>
    <xf numFmtId="0" fontId="14" fillId="9" borderId="4" xfId="5" applyProtection="1">
      <alignment vertical="center"/>
      <protection hidden="1"/>
    </xf>
    <xf numFmtId="0" fontId="0" fillId="0" borderId="0" xfId="0" applyFont="1" applyFill="1" applyBorder="1" applyAlignment="1" applyProtection="1">
      <alignment vertical="center"/>
      <protection locked="0" hidden="1"/>
    </xf>
    <xf numFmtId="0" fontId="0" fillId="0" borderId="0" xfId="0" applyFont="1" applyFill="1" applyAlignment="1" applyProtection="1">
      <alignment vertical="center"/>
      <protection locked="0" hidden="1"/>
    </xf>
    <xf numFmtId="164" fontId="17" fillId="24" borderId="0" xfId="221" applyNumberFormat="1" applyFont="1" applyFill="1" applyBorder="1" applyAlignment="1" applyProtection="1">
      <alignment horizontal="center" vertical="center"/>
    </xf>
    <xf numFmtId="0" fontId="9" fillId="0" borderId="0" xfId="222"/>
    <xf numFmtId="0" fontId="9" fillId="0" borderId="0" xfId="222" applyFill="1"/>
    <xf numFmtId="0" fontId="1" fillId="0" borderId="0" xfId="222" applyFont="1" applyFill="1" applyAlignment="1">
      <alignment vertical="center"/>
    </xf>
    <xf numFmtId="0" fontId="9" fillId="0" borderId="0" xfId="222" applyFill="1" applyAlignment="1">
      <alignment vertical="center"/>
    </xf>
    <xf numFmtId="0" fontId="9" fillId="0" borderId="0" xfId="222" applyAlignment="1">
      <alignment vertical="center"/>
    </xf>
    <xf numFmtId="14" fontId="59" fillId="3" borderId="42" xfId="230" applyNumberFormat="1" applyFont="1" applyFill="1" applyBorder="1" applyAlignment="1" applyProtection="1">
      <alignment horizontal="left" vertical="center" wrapText="1"/>
    </xf>
    <xf numFmtId="3" fontId="59" fillId="3" borderId="42" xfId="230" applyNumberFormat="1" applyFont="1" applyFill="1" applyBorder="1" applyAlignment="1" applyProtection="1">
      <alignment horizontal="left" vertical="center" wrapText="1"/>
    </xf>
    <xf numFmtId="0" fontId="58" fillId="28" borderId="42" xfId="230" applyNumberFormat="1" applyFont="1" applyFill="1" applyBorder="1" applyAlignment="1" applyProtection="1">
      <alignment horizontal="left" vertical="center" wrapText="1"/>
    </xf>
    <xf numFmtId="0" fontId="5" fillId="7" borderId="0" xfId="0" applyFont="1" applyFill="1" applyBorder="1" applyAlignment="1" applyProtection="1">
      <alignment vertical="center" wrapText="1"/>
      <protection hidden="1"/>
    </xf>
    <xf numFmtId="0" fontId="4" fillId="7" borderId="0" xfId="0" applyFont="1" applyFill="1" applyBorder="1" applyAlignment="1" applyProtection="1">
      <alignment vertical="center" wrapText="1"/>
      <protection hidden="1"/>
    </xf>
    <xf numFmtId="0" fontId="0" fillId="7" borderId="0" xfId="0" applyFill="1" applyBorder="1" applyProtection="1">
      <protection hidden="1"/>
    </xf>
    <xf numFmtId="0" fontId="5" fillId="7" borderId="0" xfId="222" applyFont="1" applyFill="1" applyAlignment="1">
      <alignment vertical="center"/>
    </xf>
    <xf numFmtId="0" fontId="1" fillId="7" borderId="0" xfId="222" applyFont="1" applyFill="1" applyAlignment="1">
      <alignment vertical="center"/>
    </xf>
    <xf numFmtId="165" fontId="11" fillId="3" borderId="0" xfId="6" applyFont="1" applyFill="1" applyProtection="1">
      <protection hidden="1"/>
    </xf>
    <xf numFmtId="165" fontId="61" fillId="7" borderId="0" xfId="6" applyFont="1" applyFill="1" applyProtection="1">
      <protection hidden="1"/>
    </xf>
    <xf numFmtId="165" fontId="62" fillId="3" borderId="0" xfId="6" applyFont="1" applyFill="1" applyProtection="1">
      <protection hidden="1"/>
    </xf>
    <xf numFmtId="165" fontId="63" fillId="3" borderId="0" xfId="6" applyNumberFormat="1" applyFont="1" applyFill="1" applyAlignment="1" applyProtection="1">
      <alignment horizontal="left"/>
      <protection hidden="1"/>
    </xf>
    <xf numFmtId="0" fontId="11" fillId="3" borderId="0" xfId="6" applyNumberFormat="1" applyFont="1" applyFill="1" applyAlignment="1" applyProtection="1">
      <alignment vertical="top" wrapText="1"/>
      <protection hidden="1"/>
    </xf>
    <xf numFmtId="0" fontId="64" fillId="3" borderId="0" xfId="6" applyNumberFormat="1" applyFont="1" applyFill="1" applyAlignment="1" applyProtection="1">
      <alignment horizontal="justify" vertical="top" wrapText="1"/>
      <protection hidden="1"/>
    </xf>
    <xf numFmtId="165" fontId="64" fillId="0" borderId="0" xfId="9" applyFont="1" applyAlignment="1" applyProtection="1">
      <alignment horizontal="justify" vertical="top" wrapText="1"/>
      <protection hidden="1"/>
    </xf>
    <xf numFmtId="0" fontId="11" fillId="3" borderId="0" xfId="6" applyNumberFormat="1" applyFont="1" applyFill="1" applyAlignment="1" applyProtection="1">
      <alignment horizontal="left" vertical="top" wrapText="1"/>
      <protection hidden="1"/>
    </xf>
    <xf numFmtId="165" fontId="62" fillId="3" borderId="0" xfId="9" applyFont="1" applyFill="1" applyProtection="1">
      <protection hidden="1"/>
    </xf>
    <xf numFmtId="165" fontId="62" fillId="0" borderId="0" xfId="9" applyFont="1" applyProtection="1">
      <protection hidden="1"/>
    </xf>
    <xf numFmtId="165" fontId="65" fillId="7" borderId="0" xfId="6" applyFont="1" applyFill="1" applyAlignment="1" applyProtection="1">
      <alignment horizontal="left" vertical="center"/>
      <protection hidden="1"/>
    </xf>
    <xf numFmtId="0" fontId="65" fillId="7" borderId="0" xfId="6" applyNumberFormat="1" applyFont="1" applyFill="1" applyAlignment="1" applyProtection="1">
      <alignment horizontal="justify" vertical="center" wrapText="1"/>
      <protection hidden="1"/>
    </xf>
    <xf numFmtId="0" fontId="64" fillId="7" borderId="0" xfId="6" applyNumberFormat="1" applyFont="1" applyFill="1" applyAlignment="1" applyProtection="1">
      <alignment horizontal="justify" vertical="center" wrapText="1"/>
      <protection hidden="1"/>
    </xf>
    <xf numFmtId="0" fontId="0" fillId="0" borderId="0" xfId="0" applyProtection="1">
      <protection locked="0" hidden="1"/>
    </xf>
    <xf numFmtId="0" fontId="4" fillId="7" borderId="0" xfId="0" applyFont="1" applyFill="1" applyBorder="1" applyAlignment="1" applyProtection="1">
      <alignment horizontal="left" vertical="center" wrapText="1"/>
      <protection locked="0" hidden="1"/>
    </xf>
    <xf numFmtId="0" fontId="0" fillId="0" borderId="0" xfId="0" applyAlignment="1" applyProtection="1">
      <alignment horizontal="left" vertical="center"/>
      <protection locked="0" hidden="1"/>
    </xf>
    <xf numFmtId="0" fontId="4" fillId="7" borderId="0" xfId="4" applyFont="1" applyAlignment="1" applyProtection="1">
      <alignment horizontal="left" vertical="center" wrapText="1"/>
      <protection locked="0" hidden="1"/>
    </xf>
    <xf numFmtId="0" fontId="11" fillId="0" borderId="42" xfId="230" applyNumberFormat="1" applyFont="1" applyFill="1" applyBorder="1" applyAlignment="1" applyProtection="1">
      <alignment horizontal="left" vertical="center" wrapText="1"/>
    </xf>
    <xf numFmtId="0" fontId="4" fillId="2" borderId="0" xfId="0" applyFont="1" applyFill="1" applyBorder="1" applyAlignment="1" applyProtection="1">
      <alignment vertical="center" wrapText="1"/>
      <protection hidden="1"/>
    </xf>
    <xf numFmtId="0" fontId="0" fillId="0" borderId="0" xfId="0" applyAlignment="1" applyProtection="1">
      <alignment horizontal="center"/>
      <protection hidden="1"/>
    </xf>
    <xf numFmtId="0" fontId="0" fillId="24" borderId="7" xfId="5" applyFont="1" applyFill="1" applyBorder="1" applyAlignment="1" applyProtection="1">
      <alignment horizontal="center" vertical="center"/>
      <protection hidden="1"/>
    </xf>
    <xf numFmtId="0" fontId="0" fillId="24" borderId="4" xfId="5" applyFont="1" applyFill="1" applyAlignment="1" applyProtection="1">
      <alignment horizontal="center" vertical="center"/>
      <protection hidden="1"/>
    </xf>
    <xf numFmtId="0" fontId="0" fillId="6" borderId="4" xfId="5" applyFont="1" applyFill="1" applyAlignment="1" applyProtection="1">
      <alignment horizontal="center" vertical="center"/>
      <protection hidden="1"/>
    </xf>
    <xf numFmtId="0" fontId="0" fillId="6" borderId="6" xfId="5" applyFont="1" applyFill="1" applyBorder="1" applyAlignment="1" applyProtection="1">
      <alignment horizontal="center" vertical="center"/>
      <protection hidden="1"/>
    </xf>
    <xf numFmtId="0" fontId="68" fillId="0" borderId="0" xfId="0" applyFont="1" applyFill="1" applyAlignment="1" applyProtection="1">
      <alignment horizontal="center" vertical="center"/>
      <protection hidden="1"/>
    </xf>
    <xf numFmtId="0" fontId="10" fillId="0" borderId="0" xfId="0" applyFont="1" applyAlignment="1" applyProtection="1">
      <alignment horizontal="center" vertical="center"/>
      <protection hidden="1"/>
    </xf>
    <xf numFmtId="0" fontId="0" fillId="0" borderId="42" xfId="0" applyBorder="1" applyAlignment="1" applyProtection="1">
      <alignment horizontal="center" vertical="center"/>
      <protection hidden="1"/>
    </xf>
    <xf numFmtId="0" fontId="8" fillId="0" borderId="46"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center" wrapText="1"/>
      <protection hidden="1"/>
    </xf>
    <xf numFmtId="0" fontId="0" fillId="0" borderId="42" xfId="0" applyBorder="1" applyAlignment="1" applyProtection="1">
      <alignment horizontal="center" vertical="center" wrapText="1"/>
      <protection locked="0" hidden="1"/>
    </xf>
    <xf numFmtId="0" fontId="0" fillId="0" borderId="42" xfId="0" applyBorder="1" applyAlignment="1" applyProtection="1">
      <alignment horizontal="center" vertical="center"/>
      <protection locked="0" hidden="1"/>
    </xf>
    <xf numFmtId="0" fontId="0" fillId="24" borderId="4" xfId="5" applyFont="1" applyFill="1" applyAlignment="1" applyProtection="1">
      <alignment horizontal="left" vertical="center"/>
      <protection hidden="1"/>
    </xf>
    <xf numFmtId="0" fontId="0" fillId="6" borderId="4" xfId="5" applyFont="1" applyFill="1" applyAlignment="1" applyProtection="1">
      <alignment horizontal="left" vertical="center"/>
      <protection hidden="1"/>
    </xf>
    <xf numFmtId="0" fontId="0" fillId="6" borderId="6" xfId="5" applyFont="1" applyFill="1" applyBorder="1" applyAlignment="1" applyProtection="1">
      <alignment horizontal="left" vertical="center"/>
      <protection hidden="1"/>
    </xf>
    <xf numFmtId="0" fontId="0" fillId="0" borderId="47" xfId="0" applyBorder="1" applyAlignment="1" applyProtection="1">
      <alignment wrapText="1"/>
      <protection hidden="1"/>
    </xf>
    <xf numFmtId="0" fontId="0" fillId="7" borderId="42" xfId="0" applyFill="1" applyBorder="1" applyAlignment="1" applyProtection="1">
      <alignment wrapText="1"/>
      <protection hidden="1"/>
    </xf>
    <xf numFmtId="164" fontId="15" fillId="24" borderId="0" xfId="0" applyNumberFormat="1" applyFont="1" applyFill="1" applyAlignment="1" applyProtection="1">
      <alignment horizontal="center" vertical="center"/>
      <protection hidden="1"/>
    </xf>
    <xf numFmtId="0" fontId="4" fillId="0" borderId="0" xfId="0" applyFont="1" applyFill="1" applyBorder="1" applyAlignment="1" applyProtection="1">
      <alignment vertical="center" wrapText="1"/>
      <protection hidden="1"/>
    </xf>
    <xf numFmtId="0" fontId="2" fillId="0" borderId="0" xfId="0" applyFont="1" applyFill="1" applyAlignment="1" applyProtection="1">
      <alignment horizontal="center" vertical="center" wrapText="1"/>
      <protection locked="0" hidden="1"/>
    </xf>
    <xf numFmtId="0" fontId="15" fillId="0" borderId="0" xfId="0" applyFont="1" applyFill="1" applyAlignment="1" applyProtection="1">
      <alignment horizontal="center" vertical="center" wrapText="1"/>
      <protection locked="0" hidden="1"/>
    </xf>
    <xf numFmtId="0" fontId="1" fillId="0" borderId="0" xfId="0" applyFont="1" applyFill="1" applyAlignment="1" applyProtection="1">
      <alignment horizontal="center" vertical="center" wrapText="1"/>
      <protection locked="0" hidden="1"/>
    </xf>
    <xf numFmtId="0" fontId="2" fillId="0" borderId="0" xfId="0" applyFont="1" applyAlignment="1" applyProtection="1">
      <alignment horizontal="center" vertical="center" wrapText="1"/>
      <protection locked="0" hidden="1"/>
    </xf>
    <xf numFmtId="0" fontId="4" fillId="7" borderId="0" xfId="0" applyFont="1" applyFill="1" applyBorder="1" applyAlignment="1" applyProtection="1">
      <alignment horizontal="center" vertical="center" wrapText="1"/>
      <protection locked="0" hidden="1"/>
    </xf>
    <xf numFmtId="0" fontId="0" fillId="0" borderId="0" xfId="0" applyAlignment="1" applyProtection="1">
      <alignment horizontal="center" vertical="center" wrapText="1"/>
      <protection locked="0" hidden="1"/>
    </xf>
    <xf numFmtId="0" fontId="0" fillId="0" borderId="0" xfId="0" applyFill="1" applyAlignment="1" applyProtection="1">
      <alignment horizontal="center" vertical="center" wrapText="1"/>
      <protection locked="0" hidden="1"/>
    </xf>
    <xf numFmtId="0" fontId="68" fillId="0" borderId="0" xfId="0" applyNumberFormat="1" applyFont="1" applyFill="1" applyAlignment="1" applyProtection="1">
      <alignment horizontal="center" vertical="center"/>
      <protection locked="0" hidden="1"/>
    </xf>
    <xf numFmtId="0" fontId="4" fillId="0" borderId="0" xfId="4" applyFont="1" applyFill="1" applyBorder="1" applyAlignment="1" applyProtection="1">
      <alignment horizontal="left" vertical="center" wrapText="1"/>
      <protection locked="0" hidden="1"/>
    </xf>
    <xf numFmtId="0" fontId="4" fillId="2" borderId="0" xfId="0" applyFont="1" applyFill="1" applyBorder="1" applyAlignment="1" applyProtection="1">
      <alignment horizontal="left" vertical="center" wrapText="1"/>
      <protection locked="0" hidden="1"/>
    </xf>
    <xf numFmtId="0" fontId="5" fillId="2" borderId="0" xfId="0" applyFont="1" applyFill="1" applyBorder="1" applyAlignment="1" applyProtection="1">
      <alignment horizontal="left" vertical="center" wrapText="1"/>
      <protection locked="0" hidden="1"/>
    </xf>
    <xf numFmtId="0" fontId="17" fillId="4" borderId="37" xfId="2" applyFont="1" applyBorder="1" applyAlignment="1" applyProtection="1">
      <alignment horizontal="left" vertical="center" wrapText="1"/>
      <protection hidden="1"/>
    </xf>
    <xf numFmtId="0" fontId="0" fillId="4" borderId="4" xfId="2" applyFont="1" applyAlignment="1" applyProtection="1">
      <alignment horizontal="left" vertical="center" wrapText="1"/>
      <protection hidden="1"/>
    </xf>
    <xf numFmtId="0" fontId="17" fillId="4" borderId="36" xfId="2" applyFont="1" applyBorder="1" applyAlignment="1" applyProtection="1">
      <alignment horizontal="left" vertical="center" wrapText="1"/>
      <protection hidden="1"/>
    </xf>
    <xf numFmtId="0" fontId="0" fillId="4" borderId="4" xfId="2" applyFont="1" applyBorder="1" applyAlignment="1" applyProtection="1">
      <alignment horizontal="left" vertical="center" wrapText="1"/>
      <protection hidden="1"/>
    </xf>
    <xf numFmtId="0" fontId="17" fillId="4" borderId="38" xfId="2" applyFont="1" applyBorder="1" applyAlignment="1" applyProtection="1">
      <alignment horizontal="left" vertical="center" wrapText="1"/>
      <protection hidden="1"/>
    </xf>
    <xf numFmtId="0" fontId="0" fillId="4" borderId="6" xfId="2" applyFont="1" applyBorder="1" applyAlignment="1" applyProtection="1">
      <alignment horizontal="left" vertical="center" wrapText="1"/>
      <protection hidden="1"/>
    </xf>
    <xf numFmtId="0" fontId="9" fillId="4" borderId="6" xfId="2" applyFont="1" applyBorder="1" applyAlignment="1" applyProtection="1">
      <alignment horizontal="left" vertical="center" wrapText="1"/>
      <protection hidden="1"/>
    </xf>
    <xf numFmtId="0" fontId="9" fillId="4" borderId="7" xfId="2" applyFont="1" applyBorder="1" applyAlignment="1" applyProtection="1">
      <alignment horizontal="left" vertical="center" wrapText="1"/>
      <protection hidden="1"/>
    </xf>
    <xf numFmtId="0" fontId="5" fillId="2" borderId="7" xfId="0" applyFont="1" applyFill="1" applyBorder="1" applyAlignment="1" applyProtection="1">
      <alignment horizontal="left" vertical="center" wrapText="1"/>
      <protection hidden="1"/>
    </xf>
    <xf numFmtId="0" fontId="58" fillId="28" borderId="44" xfId="230" applyNumberFormat="1" applyFont="1" applyFill="1" applyBorder="1" applyAlignment="1" applyProtection="1">
      <alignment horizontal="center" vertical="center" wrapText="1"/>
    </xf>
    <xf numFmtId="0" fontId="0" fillId="24" borderId="4" xfId="5" applyFont="1" applyFill="1" applyAlignment="1" applyProtection="1">
      <alignment horizontal="left" vertical="center" wrapText="1"/>
      <protection hidden="1"/>
    </xf>
    <xf numFmtId="0" fontId="0" fillId="4" borderId="12" xfId="2" applyFont="1" applyBorder="1" applyAlignment="1" applyProtection="1">
      <alignment horizontal="left" vertical="center" wrapText="1"/>
      <protection hidden="1"/>
    </xf>
    <xf numFmtId="0" fontId="17" fillId="0" borderId="42" xfId="0" applyFont="1" applyBorder="1" applyProtection="1">
      <protection hidden="1"/>
    </xf>
    <xf numFmtId="0" fontId="0" fillId="4" borderId="5" xfId="2" applyFont="1" applyBorder="1" applyAlignment="1" applyProtection="1">
      <alignment horizontal="left" vertical="center" wrapText="1"/>
      <protection locked="0" hidden="1"/>
    </xf>
    <xf numFmtId="0" fontId="0" fillId="4" borderId="15" xfId="2" applyFont="1" applyBorder="1" applyAlignment="1" applyProtection="1">
      <alignment horizontal="left" vertical="center" wrapText="1"/>
      <protection locked="0" hidden="1"/>
    </xf>
    <xf numFmtId="0" fontId="0" fillId="0" borderId="0" xfId="0" applyFont="1" applyFill="1" applyBorder="1" applyAlignment="1" applyProtection="1">
      <alignment horizontal="left" vertical="center" wrapText="1"/>
      <protection locked="0" hidden="1"/>
    </xf>
    <xf numFmtId="0" fontId="2" fillId="0" borderId="0" xfId="0" applyFont="1" applyFill="1" applyAlignment="1" applyProtection="1">
      <alignment horizontal="left" vertical="center" wrapText="1"/>
      <protection locked="0" hidden="1"/>
    </xf>
    <xf numFmtId="0" fontId="0" fillId="0" borderId="0" xfId="0" applyAlignment="1" applyProtection="1">
      <alignment horizontal="left" vertical="center" wrapText="1"/>
      <protection locked="0" hidden="1"/>
    </xf>
    <xf numFmtId="0" fontId="2" fillId="0" borderId="0" xfId="0" applyFont="1" applyFill="1" applyBorder="1" applyAlignment="1" applyProtection="1">
      <alignment horizontal="left" vertical="center" wrapText="1"/>
      <protection locked="0" hidden="1"/>
    </xf>
    <xf numFmtId="0" fontId="0" fillId="4" borderId="4" xfId="2" applyFont="1" applyBorder="1" applyAlignment="1" applyProtection="1">
      <alignment horizontal="center" vertical="center" wrapText="1"/>
      <protection hidden="1"/>
    </xf>
    <xf numFmtId="0" fontId="64" fillId="3" borderId="0" xfId="6" applyNumberFormat="1" applyFont="1" applyFill="1" applyAlignment="1" applyProtection="1">
      <alignment horizontal="left" vertical="top" wrapText="1"/>
      <protection hidden="1"/>
    </xf>
    <xf numFmtId="0" fontId="0" fillId="0" borderId="47" xfId="0" applyBorder="1" applyProtection="1">
      <protection hidden="1"/>
    </xf>
    <xf numFmtId="0" fontId="58" fillId="28" borderId="43" xfId="230" applyNumberFormat="1" applyFont="1" applyFill="1" applyBorder="1" applyAlignment="1" applyProtection="1">
      <alignment vertical="center" wrapText="1"/>
    </xf>
    <xf numFmtId="0" fontId="19" fillId="0" borderId="0" xfId="0" applyFont="1" applyFill="1" applyAlignment="1" applyProtection="1">
      <alignment horizontal="center" vertical="center"/>
      <protection locked="0"/>
    </xf>
    <xf numFmtId="0" fontId="2" fillId="0" borderId="0" xfId="0" applyFont="1" applyFill="1" applyAlignment="1" applyProtection="1">
      <alignment vertical="center"/>
      <protection locked="0"/>
    </xf>
    <xf numFmtId="0" fontId="21" fillId="0" borderId="0" xfId="0" applyFont="1" applyFill="1" applyAlignment="1" applyProtection="1">
      <alignment horizontal="center" vertical="center"/>
      <protection locked="0"/>
    </xf>
    <xf numFmtId="0" fontId="3" fillId="0" borderId="0" xfId="0" applyFont="1" applyFill="1" applyAlignment="1" applyProtection="1">
      <alignment vertical="center"/>
      <protection locked="0"/>
    </xf>
    <xf numFmtId="0" fontId="4" fillId="7" borderId="0" xfId="0" applyFont="1" applyFill="1" applyBorder="1" applyAlignment="1" applyProtection="1">
      <alignment horizontal="left" vertical="center" wrapText="1"/>
      <protection locked="0"/>
    </xf>
    <xf numFmtId="0" fontId="4" fillId="7" borderId="0" xfId="0" applyFont="1" applyFill="1" applyBorder="1" applyAlignment="1" applyProtection="1">
      <alignment horizontal="center" vertical="center" wrapText="1"/>
      <protection locked="0"/>
    </xf>
    <xf numFmtId="0" fontId="4" fillId="8" borderId="7" xfId="0" applyFont="1" applyFill="1" applyBorder="1" applyAlignment="1" applyProtection="1">
      <alignment horizontal="center" vertical="center" wrapText="1"/>
      <protection locked="0"/>
    </xf>
    <xf numFmtId="0" fontId="26" fillId="3" borderId="5" xfId="0" applyFont="1" applyFill="1" applyBorder="1" applyAlignment="1" applyProtection="1">
      <alignment horizontal="center" vertical="center"/>
      <protection locked="0"/>
    </xf>
    <xf numFmtId="0" fontId="2" fillId="0" borderId="5" xfId="0" applyFont="1" applyFill="1" applyBorder="1" applyAlignment="1" applyProtection="1">
      <alignment vertical="center"/>
      <protection locked="0"/>
    </xf>
    <xf numFmtId="0" fontId="26" fillId="3" borderId="0"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19" fillId="0" borderId="0" xfId="0" applyFont="1" applyFill="1" applyAlignment="1" applyProtection="1">
      <alignment vertical="center"/>
      <protection locked="0"/>
    </xf>
    <xf numFmtId="0" fontId="26" fillId="0" borderId="0" xfId="0" applyFont="1" applyProtection="1">
      <protection locked="0"/>
    </xf>
    <xf numFmtId="0" fontId="0" fillId="0" borderId="0" xfId="0" applyProtection="1">
      <protection locked="0"/>
    </xf>
    <xf numFmtId="0" fontId="8" fillId="0" borderId="0" xfId="0" applyFont="1" applyFill="1" applyAlignment="1" applyProtection="1">
      <alignment horizontal="center" vertical="center" wrapText="1"/>
      <protection locked="0"/>
    </xf>
    <xf numFmtId="0" fontId="7" fillId="0" borderId="0" xfId="0" applyFont="1" applyFill="1" applyAlignment="1" applyProtection="1">
      <alignment vertical="center"/>
      <protection locked="0"/>
    </xf>
    <xf numFmtId="0" fontId="0" fillId="0" borderId="0" xfId="0" applyFont="1" applyProtection="1">
      <protection locked="0"/>
    </xf>
    <xf numFmtId="9" fontId="10" fillId="0" borderId="0" xfId="221" applyFont="1" applyFill="1" applyAlignment="1" applyProtection="1">
      <alignment horizontal="center" vertical="center" wrapText="1"/>
      <protection locked="0"/>
    </xf>
    <xf numFmtId="0" fontId="10" fillId="0" borderId="0" xfId="0" applyFont="1" applyFill="1" applyAlignment="1" applyProtection="1">
      <alignment horizontal="center" vertical="center" wrapText="1"/>
      <protection locked="0"/>
    </xf>
    <xf numFmtId="0" fontId="0" fillId="0" borderId="0" xfId="0" applyFont="1" applyFill="1" applyProtection="1">
      <protection locked="0"/>
    </xf>
    <xf numFmtId="0" fontId="0" fillId="0" borderId="0" xfId="0" applyFill="1" applyProtection="1">
      <protection locked="0"/>
    </xf>
    <xf numFmtId="0" fontId="0" fillId="0" borderId="42" xfId="0" applyBorder="1" applyAlignment="1" applyProtection="1">
      <alignment horizontal="center" vertical="center" wrapText="1"/>
      <protection hidden="1"/>
    </xf>
    <xf numFmtId="0" fontId="17" fillId="4" borderId="37" xfId="2" applyFont="1" applyBorder="1" applyAlignment="1" applyProtection="1">
      <alignment horizontal="left" vertical="center" wrapText="1"/>
      <protection hidden="1"/>
    </xf>
    <xf numFmtId="0" fontId="0" fillId="4" borderId="6" xfId="2" applyFont="1" applyBorder="1" applyAlignment="1" applyProtection="1">
      <alignment horizontal="left" vertical="center" wrapText="1"/>
      <protection hidden="1"/>
    </xf>
    <xf numFmtId="0" fontId="5" fillId="2" borderId="7" xfId="0" applyFont="1" applyFill="1" applyBorder="1" applyAlignment="1" applyProtection="1">
      <alignment horizontal="left" vertical="center" wrapText="1"/>
      <protection hidden="1"/>
    </xf>
    <xf numFmtId="0" fontId="17" fillId="4" borderId="36" xfId="2" applyFont="1" applyBorder="1" applyAlignment="1" applyProtection="1">
      <alignment horizontal="left" vertical="center" wrapText="1"/>
      <protection hidden="1"/>
    </xf>
    <xf numFmtId="0" fontId="17" fillId="4" borderId="38" xfId="2" applyFont="1" applyBorder="1" applyAlignment="1" applyProtection="1">
      <alignment horizontal="left" vertical="center" wrapText="1"/>
      <protection hidden="1"/>
    </xf>
    <xf numFmtId="0" fontId="9" fillId="4" borderId="6" xfId="2" applyFont="1" applyBorder="1" applyAlignment="1" applyProtection="1">
      <alignment horizontal="left" vertical="center" wrapText="1"/>
      <protection hidden="1"/>
    </xf>
    <xf numFmtId="0" fontId="9" fillId="4" borderId="7" xfId="2" applyFont="1" applyBorder="1" applyAlignment="1" applyProtection="1">
      <alignment horizontal="left" vertical="center" wrapText="1"/>
      <protection hidden="1"/>
    </xf>
    <xf numFmtId="0" fontId="4" fillId="2" borderId="0" xfId="0" applyFont="1" applyFill="1" applyBorder="1" applyAlignment="1" applyProtection="1">
      <alignment horizontal="left" vertical="center" wrapText="1"/>
      <protection hidden="1"/>
    </xf>
    <xf numFmtId="0" fontId="0" fillId="4" borderId="4" xfId="2" applyFont="1" applyAlignment="1" applyProtection="1">
      <alignment horizontal="left" vertical="center" wrapText="1"/>
      <protection hidden="1"/>
    </xf>
    <xf numFmtId="0" fontId="0" fillId="4" borderId="4" xfId="2" applyFont="1" applyBorder="1" applyAlignment="1" applyProtection="1">
      <alignment horizontal="left" vertical="center" wrapText="1"/>
      <protection hidden="1"/>
    </xf>
    <xf numFmtId="0" fontId="66" fillId="0" borderId="42" xfId="0" applyNumberFormat="1" applyFont="1" applyFill="1" applyBorder="1" applyAlignment="1" applyProtection="1">
      <alignment horizontal="center" vertical="center"/>
      <protection hidden="1"/>
    </xf>
    <xf numFmtId="0" fontId="66" fillId="0" borderId="42" xfId="0" applyNumberFormat="1" applyFont="1" applyFill="1" applyBorder="1" applyAlignment="1" applyProtection="1">
      <alignment horizontal="center" vertical="center"/>
      <protection locked="0" hidden="1"/>
    </xf>
    <xf numFmtId="0" fontId="67" fillId="0" borderId="42" xfId="0" applyFont="1" applyFill="1" applyBorder="1" applyAlignment="1" applyProtection="1">
      <alignment horizontal="center" vertical="center" wrapText="1"/>
      <protection hidden="1"/>
    </xf>
    <xf numFmtId="0" fontId="6" fillId="0" borderId="42" xfId="0" applyNumberFormat="1" applyFont="1" applyFill="1" applyBorder="1" applyAlignment="1" applyProtection="1">
      <alignment horizontal="center" vertical="center"/>
      <protection locked="0" hidden="1"/>
    </xf>
    <xf numFmtId="0" fontId="6" fillId="0" borderId="42" xfId="0" applyFont="1" applyBorder="1" applyAlignment="1" applyProtection="1">
      <alignment horizontal="center" vertical="center" wrapText="1"/>
      <protection hidden="1"/>
    </xf>
    <xf numFmtId="0" fontId="66" fillId="7" borderId="42" xfId="0" applyNumberFormat="1" applyFont="1" applyFill="1" applyBorder="1" applyAlignment="1" applyProtection="1">
      <alignment horizontal="center" vertical="center"/>
      <protection hidden="1"/>
    </xf>
    <xf numFmtId="0" fontId="6" fillId="7" borderId="42" xfId="0" applyFont="1" applyFill="1" applyBorder="1" applyAlignment="1" applyProtection="1">
      <alignment horizontal="center" vertical="center" wrapText="1"/>
      <protection hidden="1"/>
    </xf>
    <xf numFmtId="0" fontId="67" fillId="7" borderId="42" xfId="0" applyFont="1" applyFill="1" applyBorder="1" applyAlignment="1" applyProtection="1">
      <alignment horizontal="center" vertical="center" wrapText="1"/>
      <protection hidden="1"/>
    </xf>
    <xf numFmtId="0" fontId="66" fillId="0" borderId="0" xfId="0" applyNumberFormat="1" applyFont="1" applyFill="1" applyBorder="1" applyAlignment="1" applyProtection="1">
      <alignment horizontal="center" vertical="center"/>
      <protection hidden="1"/>
    </xf>
    <xf numFmtId="1" fontId="66" fillId="0" borderId="0" xfId="0" applyNumberFormat="1" applyFont="1" applyFill="1" applyBorder="1" applyAlignment="1" applyProtection="1">
      <alignment horizontal="center" vertical="center"/>
      <protection hidden="1"/>
    </xf>
    <xf numFmtId="0" fontId="6" fillId="0" borderId="49" xfId="0" applyFont="1" applyBorder="1" applyAlignment="1" applyProtection="1">
      <alignment horizontal="center" vertical="center" wrapText="1"/>
      <protection hidden="1"/>
    </xf>
    <xf numFmtId="0" fontId="0" fillId="0" borderId="0" xfId="0" applyAlignment="1" applyProtection="1">
      <alignment horizontal="left" vertical="center"/>
      <protection locked="0"/>
    </xf>
    <xf numFmtId="0" fontId="3" fillId="0" borderId="0" xfId="0" applyFont="1" applyFill="1" applyAlignment="1" applyProtection="1">
      <alignment horizontal="left" vertical="center"/>
      <protection locked="0"/>
    </xf>
    <xf numFmtId="0" fontId="2" fillId="0" borderId="0" xfId="0" applyFont="1" applyAlignment="1" applyProtection="1">
      <alignment horizontal="left" vertical="center"/>
      <protection locked="0"/>
    </xf>
    <xf numFmtId="0" fontId="0" fillId="4" borderId="15" xfId="2" applyFont="1" applyBorder="1" applyAlignment="1" applyProtection="1">
      <alignment horizontal="left" vertical="center"/>
      <protection locked="0"/>
    </xf>
    <xf numFmtId="0" fontId="4" fillId="0" borderId="0" xfId="4"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protection locked="0"/>
    </xf>
    <xf numFmtId="0" fontId="4" fillId="2" borderId="0" xfId="0" applyFont="1" applyFill="1" applyBorder="1" applyAlignment="1" applyProtection="1">
      <alignment horizontal="left" vertical="center" wrapText="1"/>
      <protection locked="0"/>
    </xf>
    <xf numFmtId="0" fontId="0" fillId="3" borderId="0" xfId="0" applyFont="1" applyFill="1" applyBorder="1" applyAlignment="1" applyProtection="1">
      <alignment horizontal="left" vertical="center"/>
      <protection locked="0"/>
    </xf>
    <xf numFmtId="0" fontId="4" fillId="2" borderId="0" xfId="0" applyFont="1" applyFill="1" applyBorder="1" applyAlignment="1" applyProtection="1">
      <alignment vertical="center" wrapText="1"/>
      <protection locked="0"/>
    </xf>
    <xf numFmtId="0" fontId="2" fillId="3" borderId="0"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wrapText="1"/>
      <protection locked="0"/>
    </xf>
    <xf numFmtId="0" fontId="7" fillId="0" borderId="0" xfId="0" applyFont="1" applyAlignment="1" applyProtection="1">
      <alignment horizontal="left" vertical="center"/>
      <protection locked="0"/>
    </xf>
    <xf numFmtId="0" fontId="6" fillId="0" borderId="0" xfId="0" applyFont="1" applyFill="1" applyAlignment="1" applyProtection="1">
      <alignment horizontal="left" vertical="center"/>
      <protection locked="0"/>
    </xf>
    <xf numFmtId="0" fontId="0" fillId="0" borderId="0" xfId="0" applyFill="1" applyAlignment="1" applyProtection="1">
      <alignment horizontal="left" vertical="center"/>
      <protection locked="0"/>
    </xf>
    <xf numFmtId="0" fontId="17" fillId="4" borderId="37" xfId="2" applyFont="1" applyBorder="1" applyAlignment="1" applyProtection="1">
      <alignment horizontal="left" vertical="center" wrapText="1"/>
      <protection hidden="1"/>
    </xf>
    <xf numFmtId="0" fontId="0" fillId="4" borderId="4" xfId="2" applyFont="1" applyAlignment="1" applyProtection="1">
      <alignment horizontal="left" vertical="center" wrapText="1"/>
      <protection hidden="1"/>
    </xf>
    <xf numFmtId="0" fontId="17" fillId="4" borderId="36" xfId="2" applyFont="1" applyBorder="1" applyAlignment="1" applyProtection="1">
      <alignment horizontal="left" vertical="center" wrapText="1"/>
      <protection hidden="1"/>
    </xf>
    <xf numFmtId="0" fontId="17" fillId="4" borderId="38" xfId="2" applyFont="1" applyBorder="1" applyAlignment="1" applyProtection="1">
      <alignment horizontal="left" vertical="center" wrapText="1"/>
      <protection hidden="1"/>
    </xf>
    <xf numFmtId="0" fontId="0" fillId="4" borderId="4" xfId="2" applyFont="1" applyBorder="1" applyAlignment="1" applyProtection="1">
      <alignment horizontal="left" vertical="center" wrapText="1"/>
      <protection hidden="1"/>
    </xf>
    <xf numFmtId="0" fontId="0" fillId="4" borderId="6" xfId="2" applyFont="1" applyBorder="1" applyAlignment="1" applyProtection="1">
      <alignment horizontal="left" vertical="center" wrapText="1"/>
      <protection hidden="1"/>
    </xf>
    <xf numFmtId="0" fontId="5" fillId="2" borderId="7" xfId="0" applyFont="1" applyFill="1" applyBorder="1" applyAlignment="1" applyProtection="1">
      <alignment horizontal="left" vertical="center" wrapText="1"/>
      <protection hidden="1"/>
    </xf>
    <xf numFmtId="0" fontId="9" fillId="4" borderId="6" xfId="2" applyFont="1" applyBorder="1" applyAlignment="1" applyProtection="1">
      <alignment horizontal="left" vertical="center" wrapText="1"/>
      <protection hidden="1"/>
    </xf>
    <xf numFmtId="0" fontId="9" fillId="4" borderId="7" xfId="2" applyFont="1" applyBorder="1" applyAlignment="1" applyProtection="1">
      <alignment horizontal="left" vertical="center" wrapText="1"/>
      <protection hidden="1"/>
    </xf>
    <xf numFmtId="0" fontId="4" fillId="2" borderId="0" xfId="0" applyFont="1" applyFill="1" applyBorder="1" applyAlignment="1" applyProtection="1">
      <alignment horizontal="left" vertical="center" wrapText="1"/>
      <protection hidden="1"/>
    </xf>
    <xf numFmtId="0" fontId="60" fillId="0" borderId="0" xfId="0" applyFont="1" applyAlignment="1" applyProtection="1">
      <alignment horizontal="left" wrapText="1"/>
      <protection hidden="1"/>
    </xf>
    <xf numFmtId="0" fontId="58" fillId="28" borderId="43" xfId="230" applyNumberFormat="1" applyFont="1" applyFill="1" applyBorder="1" applyAlignment="1" applyProtection="1">
      <alignment horizontal="center" vertical="center" wrapText="1"/>
    </xf>
    <xf numFmtId="0" fontId="58" fillId="28" borderId="44" xfId="230" applyNumberFormat="1" applyFont="1" applyFill="1" applyBorder="1" applyAlignment="1" applyProtection="1">
      <alignment horizontal="center" vertical="center" wrapText="1"/>
    </xf>
    <xf numFmtId="0" fontId="58" fillId="28" borderId="48" xfId="230" applyNumberFormat="1" applyFont="1" applyFill="1" applyBorder="1" applyAlignment="1" applyProtection="1">
      <alignment horizontal="center" vertical="center" wrapText="1"/>
    </xf>
    <xf numFmtId="0" fontId="64" fillId="3" borderId="0" xfId="6" applyNumberFormat="1" applyFont="1" applyFill="1" applyAlignment="1" applyProtection="1">
      <alignment horizontal="left" vertical="top" wrapText="1"/>
      <protection hidden="1"/>
    </xf>
    <xf numFmtId="0" fontId="25" fillId="3" borderId="0" xfId="6" applyNumberFormat="1" applyFont="1" applyFill="1" applyAlignment="1" applyProtection="1">
      <alignment horizontal="left" vertical="top" wrapText="1"/>
      <protection hidden="1"/>
    </xf>
    <xf numFmtId="0" fontId="11" fillId="3" borderId="0" xfId="6" applyNumberFormat="1" applyFont="1" applyFill="1" applyAlignment="1" applyProtection="1">
      <alignment horizontal="left" vertical="top" wrapText="1"/>
      <protection hidden="1"/>
    </xf>
    <xf numFmtId="0" fontId="17" fillId="4" borderId="38" xfId="2" applyFont="1" applyBorder="1" applyAlignment="1" applyProtection="1">
      <alignment horizontal="left" vertical="top" wrapText="1"/>
      <protection hidden="1"/>
    </xf>
    <xf numFmtId="0" fontId="17" fillId="4" borderId="40" xfId="2" applyFont="1" applyBorder="1" applyAlignment="1" applyProtection="1">
      <alignment horizontal="left" vertical="top" wrapText="1"/>
      <protection hidden="1"/>
    </xf>
    <xf numFmtId="0" fontId="17" fillId="4" borderId="36" xfId="2" applyFont="1" applyBorder="1" applyAlignment="1" applyProtection="1">
      <alignment horizontal="left" vertical="top" wrapText="1"/>
      <protection hidden="1"/>
    </xf>
    <xf numFmtId="1" fontId="46" fillId="3" borderId="13" xfId="1" applyNumberFormat="1" applyFont="1" applyFill="1" applyBorder="1" applyAlignment="1" applyProtection="1">
      <alignment horizontal="left" vertical="center" wrapText="1"/>
      <protection locked="0" hidden="1"/>
    </xf>
    <xf numFmtId="1" fontId="46" fillId="3" borderId="8" xfId="1" applyNumberFormat="1" applyFont="1" applyFill="1" applyBorder="1" applyAlignment="1" applyProtection="1">
      <alignment horizontal="left" vertical="center" wrapText="1"/>
      <protection locked="0" hidden="1"/>
    </xf>
    <xf numFmtId="0" fontId="17" fillId="4" borderId="36" xfId="2" applyFont="1" applyBorder="1" applyAlignment="1" applyProtection="1">
      <alignment horizontal="left" vertical="center" wrapText="1"/>
      <protection hidden="1"/>
    </xf>
    <xf numFmtId="0" fontId="17" fillId="4" borderId="37" xfId="2" applyFont="1" applyBorder="1" applyAlignment="1" applyProtection="1">
      <alignment horizontal="left" vertical="center" wrapText="1"/>
      <protection hidden="1"/>
    </xf>
    <xf numFmtId="0" fontId="0" fillId="4" borderId="0" xfId="2" applyFont="1" applyBorder="1" applyAlignment="1" applyProtection="1">
      <alignment horizontal="left" vertical="center" wrapText="1"/>
      <protection hidden="1"/>
    </xf>
    <xf numFmtId="0" fontId="0" fillId="4" borderId="7" xfId="2" applyFont="1" applyBorder="1" applyAlignment="1" applyProtection="1">
      <alignment horizontal="left" vertical="center" wrapText="1"/>
      <protection hidden="1"/>
    </xf>
    <xf numFmtId="0" fontId="0" fillId="4" borderId="6" xfId="2" applyFont="1" applyBorder="1" applyAlignment="1" applyProtection="1">
      <alignment horizontal="left" vertical="center" wrapText="1"/>
      <protection hidden="1"/>
    </xf>
    <xf numFmtId="0" fontId="9" fillId="4" borderId="1" xfId="2" applyBorder="1" applyAlignment="1" applyProtection="1">
      <alignment horizontal="center" vertical="center" wrapText="1"/>
      <protection hidden="1"/>
    </xf>
    <xf numFmtId="0" fontId="5" fillId="2" borderId="7" xfId="0" applyFont="1" applyFill="1" applyBorder="1" applyAlignment="1" applyProtection="1">
      <alignment horizontal="left" vertical="center" wrapText="1"/>
      <protection hidden="1"/>
    </xf>
    <xf numFmtId="0" fontId="19" fillId="0" borderId="20" xfId="0" applyFont="1" applyFill="1" applyBorder="1" applyAlignment="1" applyProtection="1">
      <alignment horizontal="center" vertical="center" wrapText="1"/>
      <protection hidden="1"/>
    </xf>
    <xf numFmtId="0" fontId="17" fillId="4" borderId="38" xfId="2" applyFont="1" applyBorder="1" applyAlignment="1" applyProtection="1">
      <alignment horizontal="left" vertical="center" wrapText="1"/>
      <protection hidden="1"/>
    </xf>
    <xf numFmtId="0" fontId="17" fillId="4" borderId="40" xfId="2" applyFont="1" applyBorder="1" applyAlignment="1" applyProtection="1">
      <alignment horizontal="left" vertical="center" wrapText="1"/>
      <protection hidden="1"/>
    </xf>
    <xf numFmtId="0" fontId="9" fillId="4" borderId="6" xfId="2" applyFont="1" applyBorder="1" applyAlignment="1" applyProtection="1">
      <alignment horizontal="left" vertical="center" wrapText="1"/>
      <protection hidden="1"/>
    </xf>
    <xf numFmtId="0" fontId="9" fillId="4" borderId="0" xfId="2" applyFont="1" applyBorder="1" applyAlignment="1" applyProtection="1">
      <alignment horizontal="left" vertical="center" wrapText="1"/>
      <protection hidden="1"/>
    </xf>
    <xf numFmtId="0" fontId="9" fillId="4" borderId="7" xfId="2" applyFont="1" applyBorder="1" applyAlignment="1" applyProtection="1">
      <alignment horizontal="left" vertical="center" wrapText="1"/>
      <protection hidden="1"/>
    </xf>
    <xf numFmtId="0" fontId="4" fillId="2" borderId="0" xfId="0" applyFont="1" applyFill="1" applyBorder="1" applyAlignment="1" applyProtection="1">
      <alignment horizontal="left" vertical="center" wrapText="1"/>
      <protection hidden="1"/>
    </xf>
    <xf numFmtId="0" fontId="9" fillId="0" borderId="16" xfId="2" applyFont="1" applyFill="1" applyBorder="1" applyAlignment="1" applyProtection="1">
      <alignment horizontal="left" vertical="center" wrapText="1"/>
      <protection locked="0" hidden="1"/>
    </xf>
    <xf numFmtId="0" fontId="9" fillId="0" borderId="15" xfId="2" applyFont="1" applyFill="1" applyBorder="1" applyAlignment="1" applyProtection="1">
      <alignment horizontal="left" vertical="center" wrapText="1"/>
      <protection locked="0" hidden="1"/>
    </xf>
    <xf numFmtId="0" fontId="17" fillId="24" borderId="37" xfId="2" applyFont="1" applyFill="1" applyBorder="1" applyAlignment="1" applyProtection="1">
      <alignment horizontal="left" vertical="center" wrapText="1"/>
      <protection hidden="1"/>
    </xf>
    <xf numFmtId="0" fontId="17" fillId="24" borderId="38" xfId="2" applyFont="1" applyFill="1" applyBorder="1" applyAlignment="1" applyProtection="1">
      <alignment horizontal="left" vertical="center" wrapText="1"/>
      <protection hidden="1"/>
    </xf>
    <xf numFmtId="0" fontId="0" fillId="3" borderId="17" xfId="0" applyFont="1" applyFill="1" applyBorder="1" applyAlignment="1" applyProtection="1">
      <alignment horizontal="left" vertical="center" wrapText="1"/>
      <protection locked="0" hidden="1"/>
    </xf>
    <xf numFmtId="0" fontId="0" fillId="3" borderId="41" xfId="0" applyFont="1" applyFill="1" applyBorder="1" applyAlignment="1" applyProtection="1">
      <alignment horizontal="left" vertical="center" wrapText="1"/>
      <protection locked="0" hidden="1"/>
    </xf>
    <xf numFmtId="0" fontId="17" fillId="24" borderId="16" xfId="2" applyFont="1" applyFill="1" applyBorder="1" applyAlignment="1" applyProtection="1">
      <alignment horizontal="left" vertical="center" wrapText="1"/>
      <protection hidden="1"/>
    </xf>
    <xf numFmtId="0" fontId="17" fillId="24" borderId="18" xfId="2" applyFont="1" applyFill="1" applyBorder="1" applyAlignment="1" applyProtection="1">
      <alignment horizontal="left" vertical="center" wrapText="1"/>
      <protection hidden="1"/>
    </xf>
    <xf numFmtId="0" fontId="17" fillId="24" borderId="15" xfId="2" applyFont="1" applyFill="1" applyBorder="1" applyAlignment="1" applyProtection="1">
      <alignment horizontal="left" vertical="center" wrapText="1"/>
      <protection hidden="1"/>
    </xf>
    <xf numFmtId="0" fontId="0" fillId="3" borderId="18" xfId="0" applyFont="1" applyFill="1" applyBorder="1" applyAlignment="1" applyProtection="1">
      <alignment horizontal="left" vertical="center" wrapText="1"/>
      <protection locked="0" hidden="1"/>
    </xf>
    <xf numFmtId="0" fontId="17" fillId="24" borderId="36" xfId="2" applyFont="1" applyFill="1" applyBorder="1" applyAlignment="1" applyProtection="1">
      <alignment horizontal="left" vertical="center" wrapText="1"/>
      <protection hidden="1"/>
    </xf>
    <xf numFmtId="0" fontId="17" fillId="4" borderId="16" xfId="2" applyFont="1" applyBorder="1" applyAlignment="1" applyProtection="1">
      <alignment horizontal="left" vertical="center" wrapText="1"/>
      <protection hidden="1"/>
    </xf>
    <xf numFmtId="0" fontId="17" fillId="4" borderId="18" xfId="2" applyFont="1" applyBorder="1" applyAlignment="1" applyProtection="1">
      <alignment horizontal="left" vertical="center" wrapText="1"/>
      <protection hidden="1"/>
    </xf>
    <xf numFmtId="0" fontId="17" fillId="4" borderId="15" xfId="2" applyFont="1" applyBorder="1" applyAlignment="1" applyProtection="1">
      <alignment horizontal="left" vertical="center" wrapText="1"/>
      <protection hidden="1"/>
    </xf>
    <xf numFmtId="0" fontId="26" fillId="0" borderId="20" xfId="0" applyFont="1" applyFill="1" applyBorder="1" applyAlignment="1" applyProtection="1">
      <alignment horizontal="center" vertical="center" wrapText="1"/>
      <protection hidden="1"/>
    </xf>
    <xf numFmtId="0" fontId="0" fillId="4" borderId="4" xfId="2" applyFont="1" applyAlignment="1" applyProtection="1">
      <alignment horizontal="left" vertical="center" wrapText="1"/>
      <protection hidden="1"/>
    </xf>
    <xf numFmtId="0" fontId="0" fillId="3" borderId="16" xfId="0" applyFont="1" applyFill="1" applyBorder="1" applyAlignment="1" applyProtection="1">
      <alignment horizontal="left" vertical="center" wrapText="1"/>
      <protection locked="0" hidden="1"/>
    </xf>
    <xf numFmtId="0" fontId="0" fillId="3" borderId="15" xfId="0" applyFont="1" applyFill="1" applyBorder="1" applyAlignment="1" applyProtection="1">
      <alignment horizontal="left" vertical="center" wrapText="1"/>
      <protection locked="0" hidden="1"/>
    </xf>
    <xf numFmtId="0" fontId="5" fillId="2" borderId="0" xfId="0" applyFont="1" applyFill="1" applyBorder="1" applyAlignment="1" applyProtection="1">
      <alignment horizontal="left" vertical="center" wrapText="1"/>
      <protection hidden="1"/>
    </xf>
    <xf numFmtId="0" fontId="0" fillId="4" borderId="4" xfId="2" applyFont="1" applyBorder="1" applyAlignment="1" applyProtection="1">
      <alignment horizontal="left" vertical="center" wrapText="1"/>
      <protection hidden="1"/>
    </xf>
    <xf numFmtId="0" fontId="48" fillId="0" borderId="0" xfId="0" applyFont="1" applyFill="1" applyAlignment="1" applyProtection="1">
      <alignment horizontal="left" wrapText="1"/>
      <protection hidden="1"/>
    </xf>
    <xf numFmtId="0" fontId="49" fillId="0" borderId="0" xfId="0" applyFont="1" applyFill="1" applyAlignment="1" applyProtection="1">
      <alignment horizontal="left" wrapText="1"/>
      <protection hidden="1"/>
    </xf>
    <xf numFmtId="1" fontId="51" fillId="4" borderId="25" xfId="2" applyNumberFormat="1" applyFont="1" applyBorder="1" applyAlignment="1" applyProtection="1">
      <alignment horizontal="left" vertical="center" wrapText="1"/>
      <protection hidden="1"/>
    </xf>
    <xf numFmtId="0" fontId="51" fillId="4" borderId="22" xfId="2" applyFont="1" applyBorder="1" applyAlignment="1" applyProtection="1">
      <alignment horizontal="left" vertical="center" wrapText="1"/>
      <protection hidden="1"/>
    </xf>
    <xf numFmtId="0" fontId="16" fillId="4" borderId="26" xfId="2" applyFont="1" applyBorder="1" applyAlignment="1" applyProtection="1">
      <alignment horizontal="left" vertical="center" wrapText="1"/>
      <protection hidden="1"/>
    </xf>
    <xf numFmtId="0" fontId="16" fillId="4" borderId="24" xfId="2" applyFont="1" applyBorder="1" applyAlignment="1" applyProtection="1">
      <alignment horizontal="left" vertical="center" wrapText="1"/>
      <protection hidden="1"/>
    </xf>
    <xf numFmtId="0" fontId="0" fillId="6" borderId="7" xfId="2" applyFont="1" applyFill="1" applyBorder="1" applyAlignment="1" applyProtection="1">
      <alignment horizontal="left" vertical="center" wrapText="1"/>
      <protection hidden="1"/>
    </xf>
    <xf numFmtId="0" fontId="0" fillId="6" borderId="4" xfId="2" applyFont="1" applyFill="1" applyAlignment="1" applyProtection="1">
      <alignment horizontal="left" vertical="center" wrapText="1"/>
      <protection hidden="1"/>
    </xf>
  </cellXfs>
  <cellStyles count="235">
    <cellStyle name="20% - Accent1" xfId="2" builtinId="30" customBuiltin="1"/>
    <cellStyle name="20% - Accent1 2" xfId="10"/>
    <cellStyle name="20% - Accent1 2 2" xfId="11"/>
    <cellStyle name="20% - Accent1 2 3" xfId="12"/>
    <cellStyle name="20% - Accent1 2 4" xfId="13"/>
    <cellStyle name="20% - Accent1 2 5" xfId="14"/>
    <cellStyle name="20% - Accent2 2" xfId="15"/>
    <cellStyle name="20% - Accent2 2 2" xfId="16"/>
    <cellStyle name="20% - Accent2 2 3" xfId="17"/>
    <cellStyle name="20% - Accent2 2 4" xfId="18"/>
    <cellStyle name="20% - Accent2 2 5" xfId="19"/>
    <cellStyle name="20% - Accent3 2" xfId="20"/>
    <cellStyle name="20% - Accent3 2 2" xfId="21"/>
    <cellStyle name="20% - Accent3 2 3" xfId="22"/>
    <cellStyle name="20% - Accent3 2 4" xfId="23"/>
    <cellStyle name="20% - Accent3 2 5" xfId="24"/>
    <cellStyle name="20% - Accent4 2" xfId="25"/>
    <cellStyle name="20% - Accent4 2 2" xfId="26"/>
    <cellStyle name="20% - Accent4 2 3" xfId="27"/>
    <cellStyle name="20% - Accent4 2 4" xfId="28"/>
    <cellStyle name="20% - Accent4 2 5" xfId="29"/>
    <cellStyle name="20% - Accent5 2" xfId="30"/>
    <cellStyle name="20% - Accent5 2 2" xfId="31"/>
    <cellStyle name="20% - Accent5 2 3" xfId="32"/>
    <cellStyle name="20% - Accent5 2 4" xfId="33"/>
    <cellStyle name="20% - Accent5 2 5" xfId="34"/>
    <cellStyle name="20% - Accent6 2" xfId="35"/>
    <cellStyle name="20% - Accent6 2 2" xfId="36"/>
    <cellStyle name="20% - Accent6 2 3" xfId="37"/>
    <cellStyle name="20% - Accent6 2 4" xfId="38"/>
    <cellStyle name="20% - Accent6 2 5" xfId="39"/>
    <cellStyle name="40% - Accent1 2" xfId="40"/>
    <cellStyle name="40% - Accent1 2 2" xfId="41"/>
    <cellStyle name="40% - Accent1 2 3" xfId="42"/>
    <cellStyle name="40% - Accent1 2 4" xfId="43"/>
    <cellStyle name="40% - Accent1 2 5" xfId="44"/>
    <cellStyle name="40% - Accent2 2" xfId="45"/>
    <cellStyle name="40% - Accent2 2 2" xfId="46"/>
    <cellStyle name="40% - Accent2 2 3" xfId="47"/>
    <cellStyle name="40% - Accent2 2 4" xfId="48"/>
    <cellStyle name="40% - Accent2 2 5" xfId="49"/>
    <cellStyle name="40% - Accent3 2" xfId="50"/>
    <cellStyle name="40% - Accent3 2 2" xfId="51"/>
    <cellStyle name="40% - Accent3 2 3" xfId="52"/>
    <cellStyle name="40% - Accent3 2 4" xfId="53"/>
    <cellStyle name="40% - Accent3 2 5" xfId="54"/>
    <cellStyle name="40% - Accent4 2" xfId="55"/>
    <cellStyle name="40% - Accent4 2 2" xfId="56"/>
    <cellStyle name="40% - Accent4 2 3" xfId="57"/>
    <cellStyle name="40% - Accent4 2 4" xfId="58"/>
    <cellStyle name="40% - Accent4 2 5" xfId="59"/>
    <cellStyle name="40% - Accent5 2" xfId="60"/>
    <cellStyle name="40% - Accent5 2 2" xfId="61"/>
    <cellStyle name="40% - Accent5 2 3" xfId="62"/>
    <cellStyle name="40% - Accent5 2 4" xfId="63"/>
    <cellStyle name="40% - Accent5 2 5" xfId="64"/>
    <cellStyle name="40% - Accent6 2" xfId="65"/>
    <cellStyle name="40% - Accent6 2 2" xfId="66"/>
    <cellStyle name="40% - Accent6 2 3" xfId="67"/>
    <cellStyle name="40% - Accent6 2 4" xfId="68"/>
    <cellStyle name="40% - Accent6 2 5" xfId="69"/>
    <cellStyle name="60% - Accent1 2" xfId="70"/>
    <cellStyle name="60% - Accent1 2 2" xfId="71"/>
    <cellStyle name="60% - Accent1 2 3" xfId="72"/>
    <cellStyle name="60% - Accent1 2 4" xfId="73"/>
    <cellStyle name="60% - Accent1 2 5" xfId="74"/>
    <cellStyle name="60% - Accent2" xfId="3" builtinId="36"/>
    <cellStyle name="60% - Accent2 2" xfId="75"/>
    <cellStyle name="60% - Accent2 2 2" xfId="76"/>
    <cellStyle name="60% - Accent2 2 3" xfId="77"/>
    <cellStyle name="60% - Accent2 2 4" xfId="78"/>
    <cellStyle name="60% - Accent2 2 5" xfId="79"/>
    <cellStyle name="60% - Accent3 2" xfId="80"/>
    <cellStyle name="60% - Accent3 2 2" xfId="81"/>
    <cellStyle name="60% - Accent3 2 3" xfId="82"/>
    <cellStyle name="60% - Accent3 2 4" xfId="83"/>
    <cellStyle name="60% - Accent3 2 5" xfId="84"/>
    <cellStyle name="60% - Accent4 2" xfId="85"/>
    <cellStyle name="60% - Accent4 2 2" xfId="86"/>
    <cellStyle name="60% - Accent4 2 3" xfId="87"/>
    <cellStyle name="60% - Accent4 2 4" xfId="88"/>
    <cellStyle name="60% - Accent4 2 5" xfId="89"/>
    <cellStyle name="60% - Accent5 2" xfId="90"/>
    <cellStyle name="60% - Accent5 2 2" xfId="91"/>
    <cellStyle name="60% - Accent5 2 3" xfId="92"/>
    <cellStyle name="60% - Accent5 2 4" xfId="93"/>
    <cellStyle name="60% - Accent5 2 5" xfId="94"/>
    <cellStyle name="60% - Accent6 2" xfId="95"/>
    <cellStyle name="60% - Accent6 2 2" xfId="96"/>
    <cellStyle name="60% - Accent6 2 3" xfId="97"/>
    <cellStyle name="60% - Accent6 2 4" xfId="98"/>
    <cellStyle name="60% - Accent6 2 5" xfId="99"/>
    <cellStyle name="Accent1 2" xfId="100"/>
    <cellStyle name="Accent1 2 2" xfId="101"/>
    <cellStyle name="Accent1 2 3" xfId="102"/>
    <cellStyle name="Accent1 2 4" xfId="103"/>
    <cellStyle name="Accent1 2 5" xfId="104"/>
    <cellStyle name="Accent2 2" xfId="105"/>
    <cellStyle name="Accent2 2 2" xfId="106"/>
    <cellStyle name="Accent2 2 3" xfId="107"/>
    <cellStyle name="Accent2 2 4" xfId="108"/>
    <cellStyle name="Accent2 2 5" xfId="109"/>
    <cellStyle name="Accent3 2" xfId="110"/>
    <cellStyle name="Accent3 2 2" xfId="111"/>
    <cellStyle name="Accent3 2 3" xfId="112"/>
    <cellStyle name="Accent3 2 4" xfId="113"/>
    <cellStyle name="Accent3 2 5" xfId="114"/>
    <cellStyle name="Accent4 2" xfId="115"/>
    <cellStyle name="Accent4 2 2" xfId="116"/>
    <cellStyle name="Accent4 2 3" xfId="117"/>
    <cellStyle name="Accent4 2 4" xfId="118"/>
    <cellStyle name="Accent4 2 5" xfId="119"/>
    <cellStyle name="Accent5 2" xfId="120"/>
    <cellStyle name="Accent5 2 2" xfId="121"/>
    <cellStyle name="Accent5 2 3" xfId="122"/>
    <cellStyle name="Accent5 2 4" xfId="123"/>
    <cellStyle name="Accent5 2 5" xfId="124"/>
    <cellStyle name="Accent6 2" xfId="125"/>
    <cellStyle name="Accent6 2 2" xfId="126"/>
    <cellStyle name="Accent6 2 3" xfId="127"/>
    <cellStyle name="Accent6 2 4" xfId="128"/>
    <cellStyle name="Accent6 2 5" xfId="129"/>
    <cellStyle name="Bad 2" xfId="130"/>
    <cellStyle name="Bad 2 2" xfId="131"/>
    <cellStyle name="Bad 2 3" xfId="132"/>
    <cellStyle name="Bad 2 4" xfId="133"/>
    <cellStyle name="Bad 2 5" xfId="134"/>
    <cellStyle name="Black fill" xfId="4"/>
    <cellStyle name="Calculation 2" xfId="135"/>
    <cellStyle name="Calculation 2 2" xfId="136"/>
    <cellStyle name="Calculation 2 3" xfId="137"/>
    <cellStyle name="Calculation 2 4" xfId="138"/>
    <cellStyle name="Calculation 2 5" xfId="139"/>
    <cellStyle name="cells" xfId="223"/>
    <cellStyle name="Check Cell 2" xfId="140"/>
    <cellStyle name="Check Cell 2 2" xfId="141"/>
    <cellStyle name="Check Cell 2 3" xfId="142"/>
    <cellStyle name="Check Cell 2 4" xfId="143"/>
    <cellStyle name="Check Cell 2 5" xfId="144"/>
    <cellStyle name="column field" xfId="224"/>
    <cellStyle name="Explanatory Text 2" xfId="145"/>
    <cellStyle name="Explanatory Text 2 2" xfId="146"/>
    <cellStyle name="Explanatory Text 2 3" xfId="147"/>
    <cellStyle name="Explanatory Text 2 4" xfId="148"/>
    <cellStyle name="Explanatory Text 2 5" xfId="149"/>
    <cellStyle name="Fade out" xfId="5"/>
    <cellStyle name="field" xfId="225"/>
    <cellStyle name="field names" xfId="226"/>
    <cellStyle name="footer" xfId="227"/>
    <cellStyle name="Good 2" xfId="150"/>
    <cellStyle name="Good 2 2" xfId="151"/>
    <cellStyle name="Good 2 3" xfId="152"/>
    <cellStyle name="Good 2 4" xfId="153"/>
    <cellStyle name="Good 2 5" xfId="154"/>
    <cellStyle name="heading" xfId="228"/>
    <cellStyle name="Heading 1 2" xfId="155"/>
    <cellStyle name="Heading 1 2 2" xfId="156"/>
    <cellStyle name="Heading 1 2 3" xfId="157"/>
    <cellStyle name="Heading 1 2 4" xfId="158"/>
    <cellStyle name="Heading 1 2 5" xfId="159"/>
    <cellStyle name="Heading 2 2" xfId="160"/>
    <cellStyle name="Heading 2 2 2" xfId="161"/>
    <cellStyle name="Heading 2 2 3" xfId="162"/>
    <cellStyle name="Heading 2 2 4" xfId="163"/>
    <cellStyle name="Heading 2 2 5" xfId="164"/>
    <cellStyle name="Heading 3 2" xfId="165"/>
    <cellStyle name="Heading 3 2 2" xfId="166"/>
    <cellStyle name="Heading 3 2 3" xfId="167"/>
    <cellStyle name="Heading 3 2 4" xfId="168"/>
    <cellStyle name="Heading 3 2 5" xfId="169"/>
    <cellStyle name="Heading 4 2" xfId="170"/>
    <cellStyle name="Heading 4 2 2" xfId="171"/>
    <cellStyle name="Heading 4 2 3" xfId="172"/>
    <cellStyle name="Heading 4 2 4" xfId="173"/>
    <cellStyle name="Heading 4 2 5" xfId="174"/>
    <cellStyle name="Input 2" xfId="175"/>
    <cellStyle name="Input 2 2" xfId="176"/>
    <cellStyle name="Input 2 3" xfId="177"/>
    <cellStyle name="Input 2 4" xfId="178"/>
    <cellStyle name="Input 2 5" xfId="179"/>
    <cellStyle name="Linked Cell 2" xfId="180"/>
    <cellStyle name="Linked Cell 2 2" xfId="181"/>
    <cellStyle name="Linked Cell 2 3" xfId="182"/>
    <cellStyle name="Linked Cell 2 4" xfId="183"/>
    <cellStyle name="Linked Cell 2 5" xfId="184"/>
    <cellStyle name="Neutral 2" xfId="185"/>
    <cellStyle name="Neutral 2 2" xfId="186"/>
    <cellStyle name="Neutral 2 3" xfId="187"/>
    <cellStyle name="Neutral 2 4" xfId="188"/>
    <cellStyle name="Neutral 2 5" xfId="189"/>
    <cellStyle name="Normal" xfId="0" builtinId="0"/>
    <cellStyle name="Normal 2" xfId="9"/>
    <cellStyle name="Normal 2 2" xfId="190"/>
    <cellStyle name="Normal 2 2 2" xfId="229"/>
    <cellStyle name="Normal 2 3" xfId="7"/>
    <cellStyle name="Normal 3" xfId="191"/>
    <cellStyle name="Normal 3 2" xfId="192"/>
    <cellStyle name="Normal 3 3" xfId="222"/>
    <cellStyle name="Normal 4" xfId="193"/>
    <cellStyle name="Normal 5" xfId="8"/>
    <cellStyle name="Normal 7" xfId="194"/>
    <cellStyle name="Normal_healthcare edit.xls" xfId="230"/>
    <cellStyle name="Normal_office as built edit.xls" xfId="6"/>
    <cellStyle name="Normal_shopping centre design edit.xls" xfId="1"/>
    <cellStyle name="Note 2" xfId="195"/>
    <cellStyle name="Note 2 2" xfId="196"/>
    <cellStyle name="Note 2 3" xfId="197"/>
    <cellStyle name="Note 2 4" xfId="198"/>
    <cellStyle name="Note 2 5" xfId="199"/>
    <cellStyle name="Output 2" xfId="200"/>
    <cellStyle name="Output 2 2" xfId="201"/>
    <cellStyle name="Output 2 3" xfId="202"/>
    <cellStyle name="Output 2 4" xfId="203"/>
    <cellStyle name="Output 2 5" xfId="204"/>
    <cellStyle name="Percent" xfId="221" builtinId="5"/>
    <cellStyle name="Percent 2" xfId="205"/>
    <cellStyle name="Percent 3" xfId="231"/>
    <cellStyle name="Percent 4" xfId="232"/>
    <cellStyle name="rowfield" xfId="233"/>
    <cellStyle name="Test" xfId="234"/>
    <cellStyle name="Title 2" xfId="206"/>
    <cellStyle name="Title 2 2" xfId="207"/>
    <cellStyle name="Title 2 3" xfId="208"/>
    <cellStyle name="Title 2 4" xfId="209"/>
    <cellStyle name="Title 2 5" xfId="210"/>
    <cellStyle name="Total 2" xfId="211"/>
    <cellStyle name="Total 2 2" xfId="212"/>
    <cellStyle name="Total 2 3" xfId="213"/>
    <cellStyle name="Total 2 4" xfId="214"/>
    <cellStyle name="Total 2 5" xfId="215"/>
    <cellStyle name="Warning Text 2" xfId="216"/>
    <cellStyle name="Warning Text 2 2" xfId="217"/>
    <cellStyle name="Warning Text 2 3" xfId="218"/>
    <cellStyle name="Warning Text 2 4" xfId="219"/>
    <cellStyle name="Warning Text 2 5" xfId="220"/>
  </cellStyles>
  <dxfs count="142">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0"/>
        </patternFill>
      </fill>
    </dxf>
    <dxf>
      <font>
        <color theme="1"/>
      </font>
      <fill>
        <patternFill>
          <bgColor theme="4" tint="0.79998168889431442"/>
        </patternFill>
      </fill>
    </dxf>
    <dxf>
      <font>
        <color theme="1"/>
      </font>
      <fill>
        <patternFill>
          <bgColor theme="0"/>
        </patternFill>
      </fill>
    </dxf>
    <dxf>
      <font>
        <color theme="1"/>
      </font>
      <fill>
        <patternFill>
          <bgColor theme="4" tint="0.79998168889431442"/>
        </patternFill>
      </fill>
    </dxf>
    <dxf>
      <font>
        <color theme="1"/>
      </font>
      <fill>
        <patternFill>
          <bgColor theme="0"/>
        </patternFill>
      </fill>
    </dxf>
    <dxf>
      <font>
        <strike/>
      </font>
    </dxf>
    <dxf>
      <font>
        <strike/>
      </font>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0"/>
        </patternFill>
      </fill>
    </dxf>
    <dxf>
      <font>
        <color theme="1"/>
      </font>
      <fill>
        <patternFill>
          <bgColor theme="4" tint="0.79998168889431442"/>
        </patternFill>
      </fill>
    </dxf>
    <dxf>
      <font>
        <color theme="1"/>
      </font>
      <fill>
        <patternFill>
          <bgColor theme="0"/>
        </patternFill>
      </fill>
    </dxf>
    <dxf>
      <font>
        <color theme="1"/>
      </font>
      <fill>
        <patternFill>
          <bgColor theme="4"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1"/>
      </font>
      <fill>
        <patternFill>
          <bgColor theme="0"/>
        </patternFill>
      </fill>
    </dxf>
    <dxf>
      <font>
        <strike/>
      </font>
    </dxf>
    <dxf>
      <font>
        <strike/>
      </font>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8" tint="0.39994506668294322"/>
      </font>
      <fill>
        <patternFill>
          <bgColor theme="8" tint="0.79998168889431442"/>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theme="1"/>
      </font>
      <fill>
        <patternFill>
          <bgColor theme="0"/>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0"/>
        </patternFill>
      </fill>
    </dxf>
    <dxf>
      <font>
        <color theme="1"/>
      </font>
      <fill>
        <patternFill>
          <bgColor theme="4" tint="0.79998168889431442"/>
        </patternFill>
      </fill>
    </dxf>
    <dxf>
      <font>
        <color theme="1"/>
      </font>
      <fill>
        <patternFill>
          <bgColor theme="0"/>
        </patternFill>
      </fill>
    </dxf>
    <dxf>
      <font>
        <color theme="1"/>
      </font>
      <fill>
        <patternFill>
          <bgColor theme="4" tint="0.79998168889431442"/>
        </patternFill>
      </fill>
    </dxf>
    <dxf>
      <font>
        <color theme="1"/>
      </font>
      <fill>
        <patternFill>
          <bgColor theme="0"/>
        </patternFill>
      </fill>
    </dxf>
    <dxf>
      <font>
        <strike/>
      </font>
    </dxf>
    <dxf>
      <font>
        <strike/>
      </font>
    </dxf>
  </dxfs>
  <tableStyles count="0" defaultTableStyle="TableStyleMedium9" defaultPivotStyle="PivotStyleLight16"/>
  <colors>
    <mruColors>
      <color rgb="FF000000"/>
      <color rgb="FF8DC43F"/>
      <color rgb="FF1F3860"/>
      <color rgb="FF9C6500"/>
      <color rgb="FFFFEB9C"/>
      <color rgb="FFFFE181"/>
      <color rgb="FFD6E0F2"/>
      <color rgb="FF1F3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28" lockText="1" noThreeD="1"/>
</file>

<file path=xl/ctrlProps/ctrlProp10.xml><?xml version="1.0" encoding="utf-8"?>
<formControlPr xmlns="http://schemas.microsoft.com/office/spreadsheetml/2009/9/main" objectType="CheckBox" fmlaLink="$C$38" lockText="1" noThreeD="1"/>
</file>

<file path=xl/ctrlProps/ctrlProp11.xml><?xml version="1.0" encoding="utf-8"?>
<formControlPr xmlns="http://schemas.microsoft.com/office/spreadsheetml/2009/9/main" objectType="CheckBox" fmlaLink="$C$39" lockText="1" noThreeD="1"/>
</file>

<file path=xl/ctrlProps/ctrlProp12.xml><?xml version="1.0" encoding="utf-8"?>
<formControlPr xmlns="http://schemas.microsoft.com/office/spreadsheetml/2009/9/main" objectType="CheckBox" fmlaLink="$C$40" lockText="1" noThreeD="1"/>
</file>

<file path=xl/ctrlProps/ctrlProp13.xml><?xml version="1.0" encoding="utf-8"?>
<formControlPr xmlns="http://schemas.microsoft.com/office/spreadsheetml/2009/9/main" objectType="CheckBox" fmlaLink="$C$41" lockText="1" noThreeD="1"/>
</file>

<file path=xl/ctrlProps/ctrlProp14.xml><?xml version="1.0" encoding="utf-8"?>
<formControlPr xmlns="http://schemas.microsoft.com/office/spreadsheetml/2009/9/main" objectType="CheckBox" fmlaLink="$C$42" lockText="1" noThreeD="1"/>
</file>

<file path=xl/ctrlProps/ctrlProp15.xml><?xml version="1.0" encoding="utf-8"?>
<formControlPr xmlns="http://schemas.microsoft.com/office/spreadsheetml/2009/9/main" objectType="CheckBox" fmlaLink="$C$43" lockText="1" noThreeD="1"/>
</file>

<file path=xl/ctrlProps/ctrlProp16.xml><?xml version="1.0" encoding="utf-8"?>
<formControlPr xmlns="http://schemas.microsoft.com/office/spreadsheetml/2009/9/main" objectType="CheckBox" fmlaLink="$C$70" lockText="1" noThreeD="1"/>
</file>

<file path=xl/ctrlProps/ctrlProp17.xml><?xml version="1.0" encoding="utf-8"?>
<formControlPr xmlns="http://schemas.microsoft.com/office/spreadsheetml/2009/9/main" objectType="CheckBox" fmlaLink="$C$71" lockText="1" noThreeD="1"/>
</file>

<file path=xl/ctrlProps/ctrlProp18.xml><?xml version="1.0" encoding="utf-8"?>
<formControlPr xmlns="http://schemas.microsoft.com/office/spreadsheetml/2009/9/main" objectType="CheckBox" fmlaLink="$C$81" lockText="1" noThreeD="1"/>
</file>

<file path=xl/ctrlProps/ctrlProp19.xml><?xml version="1.0" encoding="utf-8"?>
<formControlPr xmlns="http://schemas.microsoft.com/office/spreadsheetml/2009/9/main" objectType="CheckBox" fmlaLink="$C$82" lockText="1" noThreeD="1"/>
</file>

<file path=xl/ctrlProps/ctrlProp2.xml><?xml version="1.0" encoding="utf-8"?>
<formControlPr xmlns="http://schemas.microsoft.com/office/spreadsheetml/2009/9/main" objectType="CheckBox" fmlaLink="$C$27" lockText="1" noThreeD="1"/>
</file>

<file path=xl/ctrlProps/ctrlProp20.xml><?xml version="1.0" encoding="utf-8"?>
<formControlPr xmlns="http://schemas.microsoft.com/office/spreadsheetml/2009/9/main" objectType="CheckBox" fmlaLink="$C$104" lockText="1" noThreeD="1"/>
</file>

<file path=xl/ctrlProps/ctrlProp21.xml><?xml version="1.0" encoding="utf-8"?>
<formControlPr xmlns="http://schemas.microsoft.com/office/spreadsheetml/2009/9/main" objectType="CheckBox" fmlaLink="$C$91" lockText="1" noThreeD="1"/>
</file>

<file path=xl/ctrlProps/ctrlProp22.xml><?xml version="1.0" encoding="utf-8"?>
<formControlPr xmlns="http://schemas.microsoft.com/office/spreadsheetml/2009/9/main" objectType="CheckBox" fmlaLink="$C$92" lockText="1" noThreeD="1"/>
</file>

<file path=xl/ctrlProps/ctrlProp23.xml><?xml version="1.0" encoding="utf-8"?>
<formControlPr xmlns="http://schemas.microsoft.com/office/spreadsheetml/2009/9/main" objectType="CheckBox" fmlaLink="$C$93" lockText="1" noThreeD="1"/>
</file>

<file path=xl/ctrlProps/ctrlProp24.xml><?xml version="1.0" encoding="utf-8"?>
<formControlPr xmlns="http://schemas.microsoft.com/office/spreadsheetml/2009/9/main" objectType="CheckBox" fmlaLink="$C$28" lockText="1" noThreeD="1"/>
</file>

<file path=xl/ctrlProps/ctrlProp25.xml><?xml version="1.0" encoding="utf-8"?>
<formControlPr xmlns="http://schemas.microsoft.com/office/spreadsheetml/2009/9/main" objectType="CheckBox" fmlaLink="$C$27" lockText="1" noThreeD="1"/>
</file>

<file path=xl/ctrlProps/ctrlProp26.xml><?xml version="1.0" encoding="utf-8"?>
<formControlPr xmlns="http://schemas.microsoft.com/office/spreadsheetml/2009/9/main" objectType="CheckBox" fmlaLink="$C$29" lockText="1" noThreeD="1"/>
</file>

<file path=xl/ctrlProps/ctrlProp27.xml><?xml version="1.0" encoding="utf-8"?>
<formControlPr xmlns="http://schemas.microsoft.com/office/spreadsheetml/2009/9/main" objectType="CheckBox" fmlaLink="$C$30" lockText="1" noThreeD="1"/>
</file>

<file path=xl/ctrlProps/ctrlProp28.xml><?xml version="1.0" encoding="utf-8"?>
<formControlPr xmlns="http://schemas.microsoft.com/office/spreadsheetml/2009/9/main" objectType="CheckBox" fmlaLink="$C$31" lockText="1" noThreeD="1"/>
</file>

<file path=xl/ctrlProps/ctrlProp29.xml><?xml version="1.0" encoding="utf-8"?>
<formControlPr xmlns="http://schemas.microsoft.com/office/spreadsheetml/2009/9/main" objectType="CheckBox" fmlaLink="$C$32" lockText="1" noThreeD="1"/>
</file>

<file path=xl/ctrlProps/ctrlProp3.xml><?xml version="1.0" encoding="utf-8"?>
<formControlPr xmlns="http://schemas.microsoft.com/office/spreadsheetml/2009/9/main" objectType="CheckBox" fmlaLink="$C$29" lockText="1" noThreeD="1"/>
</file>

<file path=xl/ctrlProps/ctrlProp30.xml><?xml version="1.0" encoding="utf-8"?>
<formControlPr xmlns="http://schemas.microsoft.com/office/spreadsheetml/2009/9/main" objectType="CheckBox" fmlaLink="$C$34" lockText="1" noThreeD="1"/>
</file>

<file path=xl/ctrlProps/ctrlProp31.xml><?xml version="1.0" encoding="utf-8"?>
<formControlPr xmlns="http://schemas.microsoft.com/office/spreadsheetml/2009/9/main" objectType="CheckBox" fmlaLink="$C$35" lockText="1" noThreeD="1"/>
</file>

<file path=xl/ctrlProps/ctrlProp32.xml><?xml version="1.0" encoding="utf-8"?>
<formControlPr xmlns="http://schemas.microsoft.com/office/spreadsheetml/2009/9/main" objectType="CheckBox" fmlaLink="$C$36" lockText="1" noThreeD="1"/>
</file>

<file path=xl/ctrlProps/ctrlProp33.xml><?xml version="1.0" encoding="utf-8"?>
<formControlPr xmlns="http://schemas.microsoft.com/office/spreadsheetml/2009/9/main" objectType="CheckBox" fmlaLink="$C$38" lockText="1" noThreeD="1"/>
</file>

<file path=xl/ctrlProps/ctrlProp34.xml><?xml version="1.0" encoding="utf-8"?>
<formControlPr xmlns="http://schemas.microsoft.com/office/spreadsheetml/2009/9/main" objectType="CheckBox" fmlaLink="$C$39" lockText="1" noThreeD="1"/>
</file>

<file path=xl/ctrlProps/ctrlProp35.xml><?xml version="1.0" encoding="utf-8"?>
<formControlPr xmlns="http://schemas.microsoft.com/office/spreadsheetml/2009/9/main" objectType="CheckBox" fmlaLink="$C$40" lockText="1" noThreeD="1"/>
</file>

<file path=xl/ctrlProps/ctrlProp36.xml><?xml version="1.0" encoding="utf-8"?>
<formControlPr xmlns="http://schemas.microsoft.com/office/spreadsheetml/2009/9/main" objectType="CheckBox" fmlaLink="$C$41" lockText="1" noThreeD="1"/>
</file>

<file path=xl/ctrlProps/ctrlProp37.xml><?xml version="1.0" encoding="utf-8"?>
<formControlPr xmlns="http://schemas.microsoft.com/office/spreadsheetml/2009/9/main" objectType="CheckBox" fmlaLink="$C$42" lockText="1" noThreeD="1"/>
</file>

<file path=xl/ctrlProps/ctrlProp38.xml><?xml version="1.0" encoding="utf-8"?>
<formControlPr xmlns="http://schemas.microsoft.com/office/spreadsheetml/2009/9/main" objectType="CheckBox" fmlaLink="$C$43" lockText="1" noThreeD="1"/>
</file>

<file path=xl/ctrlProps/ctrlProp39.xml><?xml version="1.0" encoding="utf-8"?>
<formControlPr xmlns="http://schemas.microsoft.com/office/spreadsheetml/2009/9/main" objectType="CheckBox" fmlaLink="$C$70" lockText="1" noThreeD="1"/>
</file>

<file path=xl/ctrlProps/ctrlProp4.xml><?xml version="1.0" encoding="utf-8"?>
<formControlPr xmlns="http://schemas.microsoft.com/office/spreadsheetml/2009/9/main" objectType="CheckBox" fmlaLink="$C$30" lockText="1" noThreeD="1"/>
</file>

<file path=xl/ctrlProps/ctrlProp40.xml><?xml version="1.0" encoding="utf-8"?>
<formControlPr xmlns="http://schemas.microsoft.com/office/spreadsheetml/2009/9/main" objectType="CheckBox" fmlaLink="$C$71" lockText="1" noThreeD="1"/>
</file>

<file path=xl/ctrlProps/ctrlProp41.xml><?xml version="1.0" encoding="utf-8"?>
<formControlPr xmlns="http://schemas.microsoft.com/office/spreadsheetml/2009/9/main" objectType="CheckBox" fmlaLink="$C$81" lockText="1" noThreeD="1"/>
</file>

<file path=xl/ctrlProps/ctrlProp42.xml><?xml version="1.0" encoding="utf-8"?>
<formControlPr xmlns="http://schemas.microsoft.com/office/spreadsheetml/2009/9/main" objectType="CheckBox" fmlaLink="$C$82" lockText="1" noThreeD="1"/>
</file>

<file path=xl/ctrlProps/ctrlProp43.xml><?xml version="1.0" encoding="utf-8"?>
<formControlPr xmlns="http://schemas.microsoft.com/office/spreadsheetml/2009/9/main" objectType="CheckBox" fmlaLink="$C$104" lockText="1" noThreeD="1"/>
</file>

<file path=xl/ctrlProps/ctrlProp44.xml><?xml version="1.0" encoding="utf-8"?>
<formControlPr xmlns="http://schemas.microsoft.com/office/spreadsheetml/2009/9/main" objectType="CheckBox" fmlaLink="$C$91" lockText="1" noThreeD="1"/>
</file>

<file path=xl/ctrlProps/ctrlProp45.xml><?xml version="1.0" encoding="utf-8"?>
<formControlPr xmlns="http://schemas.microsoft.com/office/spreadsheetml/2009/9/main" objectType="CheckBox" fmlaLink="$C$92" lockText="1" noThreeD="1"/>
</file>

<file path=xl/ctrlProps/ctrlProp46.xml><?xml version="1.0" encoding="utf-8"?>
<formControlPr xmlns="http://schemas.microsoft.com/office/spreadsheetml/2009/9/main" objectType="CheckBox" fmlaLink="$C$93" lockText="1" noThreeD="1"/>
</file>

<file path=xl/ctrlProps/ctrlProp47.xml><?xml version="1.0" encoding="utf-8"?>
<formControlPr xmlns="http://schemas.microsoft.com/office/spreadsheetml/2009/9/main" objectType="CheckBox" fmlaLink="$C$28" lockText="1" noThreeD="1"/>
</file>

<file path=xl/ctrlProps/ctrlProp48.xml><?xml version="1.0" encoding="utf-8"?>
<formControlPr xmlns="http://schemas.microsoft.com/office/spreadsheetml/2009/9/main" objectType="CheckBox" fmlaLink="$C$27" lockText="1" noThreeD="1"/>
</file>

<file path=xl/ctrlProps/ctrlProp49.xml><?xml version="1.0" encoding="utf-8"?>
<formControlPr xmlns="http://schemas.microsoft.com/office/spreadsheetml/2009/9/main" objectType="CheckBox" fmlaLink="$C$29" lockText="1" noThreeD="1"/>
</file>

<file path=xl/ctrlProps/ctrlProp5.xml><?xml version="1.0" encoding="utf-8"?>
<formControlPr xmlns="http://schemas.microsoft.com/office/spreadsheetml/2009/9/main" objectType="CheckBox" fmlaLink="$C$31" lockText="1" noThreeD="1"/>
</file>

<file path=xl/ctrlProps/ctrlProp50.xml><?xml version="1.0" encoding="utf-8"?>
<formControlPr xmlns="http://schemas.microsoft.com/office/spreadsheetml/2009/9/main" objectType="CheckBox" fmlaLink="$C$30" lockText="1" noThreeD="1"/>
</file>

<file path=xl/ctrlProps/ctrlProp51.xml><?xml version="1.0" encoding="utf-8"?>
<formControlPr xmlns="http://schemas.microsoft.com/office/spreadsheetml/2009/9/main" objectType="CheckBox" fmlaLink="$C$31" lockText="1" noThreeD="1"/>
</file>

<file path=xl/ctrlProps/ctrlProp52.xml><?xml version="1.0" encoding="utf-8"?>
<formControlPr xmlns="http://schemas.microsoft.com/office/spreadsheetml/2009/9/main" objectType="CheckBox" fmlaLink="$C$32" lockText="1" noThreeD="1"/>
</file>

<file path=xl/ctrlProps/ctrlProp53.xml><?xml version="1.0" encoding="utf-8"?>
<formControlPr xmlns="http://schemas.microsoft.com/office/spreadsheetml/2009/9/main" objectType="CheckBox" fmlaLink="$C$34" lockText="1" noThreeD="1"/>
</file>

<file path=xl/ctrlProps/ctrlProp54.xml><?xml version="1.0" encoding="utf-8"?>
<formControlPr xmlns="http://schemas.microsoft.com/office/spreadsheetml/2009/9/main" objectType="CheckBox" fmlaLink="$C$35" lockText="1" noThreeD="1"/>
</file>

<file path=xl/ctrlProps/ctrlProp55.xml><?xml version="1.0" encoding="utf-8"?>
<formControlPr xmlns="http://schemas.microsoft.com/office/spreadsheetml/2009/9/main" objectType="CheckBox" fmlaLink="$C$36" lockText="1" noThreeD="1"/>
</file>

<file path=xl/ctrlProps/ctrlProp56.xml><?xml version="1.0" encoding="utf-8"?>
<formControlPr xmlns="http://schemas.microsoft.com/office/spreadsheetml/2009/9/main" objectType="CheckBox" fmlaLink="$C$38" lockText="1" noThreeD="1"/>
</file>

<file path=xl/ctrlProps/ctrlProp57.xml><?xml version="1.0" encoding="utf-8"?>
<formControlPr xmlns="http://schemas.microsoft.com/office/spreadsheetml/2009/9/main" objectType="CheckBox" fmlaLink="$C$39" lockText="1" noThreeD="1"/>
</file>

<file path=xl/ctrlProps/ctrlProp58.xml><?xml version="1.0" encoding="utf-8"?>
<formControlPr xmlns="http://schemas.microsoft.com/office/spreadsheetml/2009/9/main" objectType="CheckBox" fmlaLink="$C$40" lockText="1" noThreeD="1"/>
</file>

<file path=xl/ctrlProps/ctrlProp59.xml><?xml version="1.0" encoding="utf-8"?>
<formControlPr xmlns="http://schemas.microsoft.com/office/spreadsheetml/2009/9/main" objectType="CheckBox" fmlaLink="$C$41" lockText="1" noThreeD="1"/>
</file>

<file path=xl/ctrlProps/ctrlProp6.xml><?xml version="1.0" encoding="utf-8"?>
<formControlPr xmlns="http://schemas.microsoft.com/office/spreadsheetml/2009/9/main" objectType="CheckBox" fmlaLink="$C$32" lockText="1" noThreeD="1"/>
</file>

<file path=xl/ctrlProps/ctrlProp60.xml><?xml version="1.0" encoding="utf-8"?>
<formControlPr xmlns="http://schemas.microsoft.com/office/spreadsheetml/2009/9/main" objectType="CheckBox" fmlaLink="$C$42" lockText="1" noThreeD="1"/>
</file>

<file path=xl/ctrlProps/ctrlProp61.xml><?xml version="1.0" encoding="utf-8"?>
<formControlPr xmlns="http://schemas.microsoft.com/office/spreadsheetml/2009/9/main" objectType="CheckBox" fmlaLink="$C$43" lockText="1" noThreeD="1"/>
</file>

<file path=xl/ctrlProps/ctrlProp62.xml><?xml version="1.0" encoding="utf-8"?>
<formControlPr xmlns="http://schemas.microsoft.com/office/spreadsheetml/2009/9/main" objectType="CheckBox" fmlaLink="$C$70" lockText="1" noThreeD="1"/>
</file>

<file path=xl/ctrlProps/ctrlProp63.xml><?xml version="1.0" encoding="utf-8"?>
<formControlPr xmlns="http://schemas.microsoft.com/office/spreadsheetml/2009/9/main" objectType="CheckBox" fmlaLink="$C$71" lockText="1" noThreeD="1"/>
</file>

<file path=xl/ctrlProps/ctrlProp64.xml><?xml version="1.0" encoding="utf-8"?>
<formControlPr xmlns="http://schemas.microsoft.com/office/spreadsheetml/2009/9/main" objectType="CheckBox" fmlaLink="$C$81" lockText="1" noThreeD="1"/>
</file>

<file path=xl/ctrlProps/ctrlProp65.xml><?xml version="1.0" encoding="utf-8"?>
<formControlPr xmlns="http://schemas.microsoft.com/office/spreadsheetml/2009/9/main" objectType="CheckBox" fmlaLink="$C$82" lockText="1" noThreeD="1"/>
</file>

<file path=xl/ctrlProps/ctrlProp66.xml><?xml version="1.0" encoding="utf-8"?>
<formControlPr xmlns="http://schemas.microsoft.com/office/spreadsheetml/2009/9/main" objectType="CheckBox" fmlaLink="$C$104" lockText="1" noThreeD="1"/>
</file>

<file path=xl/ctrlProps/ctrlProp67.xml><?xml version="1.0" encoding="utf-8"?>
<formControlPr xmlns="http://schemas.microsoft.com/office/spreadsheetml/2009/9/main" objectType="CheckBox" fmlaLink="$C$91" lockText="1" noThreeD="1"/>
</file>

<file path=xl/ctrlProps/ctrlProp68.xml><?xml version="1.0" encoding="utf-8"?>
<formControlPr xmlns="http://schemas.microsoft.com/office/spreadsheetml/2009/9/main" objectType="CheckBox" fmlaLink="$C$92" lockText="1" noThreeD="1"/>
</file>

<file path=xl/ctrlProps/ctrlProp69.xml><?xml version="1.0" encoding="utf-8"?>
<formControlPr xmlns="http://schemas.microsoft.com/office/spreadsheetml/2009/9/main" objectType="CheckBox" fmlaLink="$C$93" lockText="1" noThreeD="1"/>
</file>

<file path=xl/ctrlProps/ctrlProp7.xml><?xml version="1.0" encoding="utf-8"?>
<formControlPr xmlns="http://schemas.microsoft.com/office/spreadsheetml/2009/9/main" objectType="CheckBox" fmlaLink="$C$34" lockText="1" noThreeD="1"/>
</file>

<file path=xl/ctrlProps/ctrlProp8.xml><?xml version="1.0" encoding="utf-8"?>
<formControlPr xmlns="http://schemas.microsoft.com/office/spreadsheetml/2009/9/main" objectType="CheckBox" fmlaLink="$C$35" lockText="1" noThreeD="1"/>
</file>

<file path=xl/ctrlProps/ctrlProp9.xml><?xml version="1.0" encoding="utf-8"?>
<formControlPr xmlns="http://schemas.microsoft.com/office/spreadsheetml/2009/9/main" objectType="CheckBox" fmlaLink="$C$3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14</xdr:row>
      <xdr:rowOff>61717</xdr:rowOff>
    </xdr:from>
    <xdr:to>
      <xdr:col>15</xdr:col>
      <xdr:colOff>0</xdr:colOff>
      <xdr:row>40</xdr:row>
      <xdr:rowOff>82837</xdr:rowOff>
    </xdr:to>
    <xdr:sp macro="" textlink="">
      <xdr:nvSpPr>
        <xdr:cNvPr id="2" name="TextBox 1"/>
        <xdr:cNvSpPr txBox="1"/>
      </xdr:nvSpPr>
      <xdr:spPr>
        <a:xfrm>
          <a:off x="228600" y="2976367"/>
          <a:ext cx="8534400" cy="4974120"/>
        </a:xfrm>
        <a:prstGeom prst="rect">
          <a:avLst/>
        </a:prstGeom>
        <a:solidFill>
          <a:schemeClr val="lt1"/>
        </a:solidFill>
        <a:ln w="9525" cmpd="sng">
          <a:solidFill>
            <a:schemeClr val="tx1">
              <a:lumMod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AU" sz="900">
              <a:solidFill>
                <a:srgbClr val="000000"/>
              </a:solidFill>
              <a:effectLst/>
              <a:latin typeface="Arial" panose="020B0604020202020204" pitchFamily="34" charset="0"/>
              <a:ea typeface="+mn-ea"/>
              <a:cs typeface="Arial" panose="020B0604020202020204" pitchFamily="34" charset="0"/>
            </a:rPr>
            <a:t>The Green Star sustainability rating system for buildings (“Green Star”) and the Green Star - Design &amp; As Built rating tool v1 (“Green Star – Design &amp; As Built”) have been developed by the Green Building Council of Australia (“GBCA”).  Green Star - Design &amp; As Built evaluates sustainability outcomes for the design and construction of all types of buildings (with the exception of single detached dwellings). It is intended for use by stakeholders including project team members as a guide for green and sustainable existing building operations. As with all Green Star rating tools, Green Star - Design &amp; As Built may be subject to further development in the future. </a:t>
          </a:r>
        </a:p>
        <a:p>
          <a:endParaRPr lang="en-AU" sz="900">
            <a:solidFill>
              <a:srgbClr val="000000"/>
            </a:solidFill>
            <a:effectLst/>
            <a:latin typeface="Arial" panose="020B0604020202020204" pitchFamily="34" charset="0"/>
            <a:ea typeface="+mn-ea"/>
            <a:cs typeface="Arial" panose="020B0604020202020204" pitchFamily="34" charset="0"/>
          </a:endParaRPr>
        </a:p>
        <a:p>
          <a:r>
            <a:rPr lang="en-AU" sz="900">
              <a:solidFill>
                <a:srgbClr val="000000"/>
              </a:solidFill>
              <a:effectLst/>
              <a:latin typeface="Arial" panose="020B0604020202020204" pitchFamily="34" charset="0"/>
              <a:ea typeface="+mn-ea"/>
              <a:cs typeface="Arial" panose="020B0604020202020204" pitchFamily="34" charset="0"/>
            </a:rPr>
            <a:t>Green Star and Green Star - Design &amp; As Built have been developed with the assistance and participation of representatives from many organisations. The GBCA authorises you to view and use Green Star - Design &amp; As Built for your individual use only. In exchange for this authorisation, you agree that the GBCA retains all copyright and other proprietary rights contained in and in relation to Green Star - Design &amp; As Built and agree not to sell, modify, or use for another purpose all or any part of the tool or to reproduce, display or distribute the tool in any way for any public or commercial purpose, including display on a website or in a networked environment. Unauthorised use of Green Star and/or Green Star - Design &amp; As Built will violate copyright and other laws, and is prohibited. All text, graphics, layout and other elements of content contained in Green Star and its rating tools are owned by the GBCA and are protected by copyright, trade mark and other laws.</a:t>
          </a:r>
        </a:p>
        <a:p>
          <a:endParaRPr lang="en-AU" sz="900">
            <a:solidFill>
              <a:srgbClr val="000000"/>
            </a:solidFill>
            <a:effectLst/>
            <a:latin typeface="Arial" panose="020B0604020202020204" pitchFamily="34" charset="0"/>
            <a:ea typeface="+mn-ea"/>
            <a:cs typeface="Arial" panose="020B0604020202020204" pitchFamily="34" charset="0"/>
          </a:endParaRPr>
        </a:p>
        <a:p>
          <a:r>
            <a:rPr lang="en-AU" sz="900">
              <a:solidFill>
                <a:srgbClr val="000000"/>
              </a:solidFill>
              <a:effectLst/>
              <a:latin typeface="Arial" panose="020B0604020202020204" pitchFamily="34" charset="0"/>
              <a:ea typeface="+mn-ea"/>
              <a:cs typeface="Arial" panose="020B0604020202020204" pitchFamily="34" charset="0"/>
            </a:rPr>
            <a:t>To the maximum extent permitted by law, the GBCA does not accept responsibility, including without limitation for negligence, for any inaccuracy within Green Star and/or its rating tools and makes no warranty, expressed or implied, including the warranties of merchantability and fitness for a particular purpose, nor assumes any legal liability or responsibility to you or any third parties for the accuracy, completeness, or use of, or reliance on, any information contained in Green Star and/or Green Star – Design &amp; As Built, or for any injuries, losses or damages (including, without limitation, equitable relief and economic loss) arising out of such use or reliance.</a:t>
          </a:r>
        </a:p>
        <a:p>
          <a:endParaRPr lang="en-AU" sz="900">
            <a:solidFill>
              <a:srgbClr val="000000"/>
            </a:solidFill>
            <a:effectLst/>
            <a:latin typeface="Arial" panose="020B0604020202020204" pitchFamily="34" charset="0"/>
            <a:ea typeface="+mn-ea"/>
            <a:cs typeface="Arial" panose="020B0604020202020204" pitchFamily="34" charset="0"/>
          </a:endParaRPr>
        </a:p>
        <a:p>
          <a:r>
            <a:rPr lang="en-AU" sz="900">
              <a:solidFill>
                <a:srgbClr val="000000"/>
              </a:solidFill>
              <a:effectLst/>
              <a:latin typeface="Arial" panose="020B0604020202020204" pitchFamily="34" charset="0"/>
              <a:ea typeface="+mn-ea"/>
              <a:cs typeface="Arial" panose="020B0604020202020204" pitchFamily="34" charset="0"/>
            </a:rPr>
            <a:t>Green Star and Green Star - Design &amp; As Built are no substitute for professional advice.  You should seek your own professional and other appropriate advice on the matters addressed by them.</a:t>
          </a:r>
        </a:p>
        <a:p>
          <a:endParaRPr lang="en-AU" sz="900">
            <a:solidFill>
              <a:srgbClr val="000000"/>
            </a:solidFill>
            <a:effectLst/>
            <a:latin typeface="Arial" panose="020B0604020202020204" pitchFamily="34" charset="0"/>
            <a:ea typeface="+mn-ea"/>
            <a:cs typeface="Arial" panose="020B0604020202020204" pitchFamily="34" charset="0"/>
          </a:endParaRPr>
        </a:p>
        <a:p>
          <a:r>
            <a:rPr lang="en-AU" sz="900">
              <a:solidFill>
                <a:srgbClr val="000000"/>
              </a:solidFill>
              <a:effectLst/>
              <a:latin typeface="Arial" panose="020B0604020202020204" pitchFamily="34" charset="0"/>
              <a:ea typeface="+mn-ea"/>
              <a:cs typeface="Arial" panose="020B0604020202020204" pitchFamily="34" charset="0"/>
            </a:rPr>
            <a:t>As a condition of use, you covenant not to sue, and agree to waive and release the GBCA, its officers, agents, employees and its members from any and all claims, demands and causes of action for any injury, loss, destruction or damage (including, without limitation, equitable relief and economic loss) that you may now or hereafter have a right to assert against such parties as a result of your use of, or reliance on, Green Star and/or Green Star – Design &amp; As Built.</a:t>
          </a:r>
        </a:p>
        <a:p>
          <a:endParaRPr lang="en-AU" sz="900">
            <a:solidFill>
              <a:srgbClr val="000000"/>
            </a:solidFill>
            <a:effectLst/>
            <a:latin typeface="Arial" panose="020B0604020202020204" pitchFamily="34" charset="0"/>
            <a:ea typeface="+mn-ea"/>
            <a:cs typeface="Arial" panose="020B0604020202020204" pitchFamily="34" charset="0"/>
          </a:endParaRPr>
        </a:p>
        <a:p>
          <a:r>
            <a:rPr lang="en-AU" sz="900">
              <a:solidFill>
                <a:srgbClr val="000000"/>
              </a:solidFill>
              <a:effectLst/>
              <a:latin typeface="Arial" panose="020B0604020202020204" pitchFamily="34" charset="0"/>
              <a:ea typeface="+mn-ea"/>
              <a:cs typeface="Arial" panose="020B0604020202020204" pitchFamily="34" charset="0"/>
            </a:rPr>
            <a:t>The GBCA does not endorse any self-assessed Green Star rating achieved by the use of Green Star – Design &amp; As Built. The GBCA offers a formal certification process for 4 Star ratings and above; this service provides for independent third-party review of points claimed to ensure all points can be demonstrated to be achieved by the provision of the necessary documentary evidence.  The use of Green Star - Design &amp; As Built without formal certification by the GBCA does not entitle the user or any other party to promote the Green Star rating claimed to have been achieved.</a:t>
          </a:r>
        </a:p>
        <a:p>
          <a:r>
            <a:rPr lang="en-AU" sz="900">
              <a:solidFill>
                <a:srgbClr val="000000"/>
              </a:solidFill>
              <a:effectLst/>
              <a:latin typeface="Arial" panose="020B0604020202020204" pitchFamily="34" charset="0"/>
              <a:ea typeface="+mn-ea"/>
              <a:cs typeface="Arial" panose="020B0604020202020204" pitchFamily="34" charset="0"/>
            </a:rPr>
            <a:t>The application of Green Star - Design &amp; As Built to the design and construction of all types of buildings (with the exception of single detached dwellings) is encouraged to assess and improve their sustainability outcomes. However, formal recognition of the Green Star rating – and the right to promote same – requires undertaking the formal certification process offered by the GBCA.</a:t>
          </a:r>
        </a:p>
        <a:p>
          <a:endParaRPr lang="en-AU" sz="900">
            <a:solidFill>
              <a:srgbClr val="000000"/>
            </a:solidFill>
            <a:effectLst/>
            <a:latin typeface="Arial" panose="020B0604020202020204" pitchFamily="34" charset="0"/>
            <a:ea typeface="+mn-ea"/>
            <a:cs typeface="Arial" panose="020B0604020202020204" pitchFamily="34" charset="0"/>
          </a:endParaRPr>
        </a:p>
        <a:p>
          <a:r>
            <a:rPr lang="en-AU" sz="900">
              <a:solidFill>
                <a:srgbClr val="000000"/>
              </a:solidFill>
              <a:effectLst/>
              <a:latin typeface="Arial" panose="020B0604020202020204" pitchFamily="34" charset="0"/>
              <a:ea typeface="+mn-ea"/>
              <a:cs typeface="Arial" panose="020B0604020202020204" pitchFamily="34" charset="0"/>
            </a:rPr>
            <a:t>You are only authorised to proceed to use Green Star and Green Star - Design &amp; As Built on this basis.</a:t>
          </a:r>
        </a:p>
        <a:p>
          <a:endParaRPr lang="en-AU" sz="900">
            <a:solidFill>
              <a:srgbClr val="000000"/>
            </a:solidFill>
            <a:effectLst/>
            <a:latin typeface="Arial" panose="020B0604020202020204" pitchFamily="34" charset="0"/>
            <a:ea typeface="+mn-ea"/>
            <a:cs typeface="Arial" panose="020B0604020202020204" pitchFamily="34" charset="0"/>
          </a:endParaRPr>
        </a:p>
        <a:p>
          <a:r>
            <a:rPr lang="en-AU" sz="900">
              <a:solidFill>
                <a:srgbClr val="000000"/>
              </a:solidFill>
              <a:effectLst/>
              <a:latin typeface="Arial" panose="020B0604020202020204" pitchFamily="34" charset="0"/>
              <a:ea typeface="+mn-ea"/>
              <a:cs typeface="Arial" panose="020B0604020202020204" pitchFamily="34" charset="0"/>
            </a:rPr>
            <a:t>All rights reserved.</a:t>
          </a:r>
        </a:p>
      </xdr:txBody>
    </xdr:sp>
    <xdr:clientData/>
  </xdr:twoCellAnchor>
  <xdr:twoCellAnchor editAs="oneCell">
    <xdr:from>
      <xdr:col>1</xdr:col>
      <xdr:colOff>0</xdr:colOff>
      <xdr:row>0</xdr:row>
      <xdr:rowOff>9525</xdr:rowOff>
    </xdr:from>
    <xdr:to>
      <xdr:col>13</xdr:col>
      <xdr:colOff>400050</xdr:colOff>
      <xdr:row>11</xdr:row>
      <xdr:rowOff>176212</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8600" y="9525"/>
          <a:ext cx="8629650" cy="21574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11205</xdr:rowOff>
    </xdr:from>
    <xdr:to>
      <xdr:col>3</xdr:col>
      <xdr:colOff>4963087</xdr:colOff>
      <xdr:row>1</xdr:row>
      <xdr:rowOff>11205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1353" y="11205"/>
          <a:ext cx="8606119" cy="21515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11206</xdr:colOff>
      <xdr:row>0</xdr:row>
      <xdr:rowOff>11205</xdr:rowOff>
    </xdr:from>
    <xdr:to>
      <xdr:col>5</xdr:col>
      <xdr:colOff>1938620</xdr:colOff>
      <xdr:row>0</xdr:row>
      <xdr:rowOff>1973355</xdr:rowOff>
    </xdr:to>
    <xdr:pic>
      <xdr:nvPicPr>
        <xdr:cNvPr id="4" name="Pictur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7735" y="11205"/>
          <a:ext cx="7844120" cy="19610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190501</xdr:colOff>
      <xdr:row>0</xdr:row>
      <xdr:rowOff>0</xdr:rowOff>
    </xdr:from>
    <xdr:to>
      <xdr:col>3</xdr:col>
      <xdr:colOff>11206</xdr:colOff>
      <xdr:row>2</xdr:row>
      <xdr:rowOff>25405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1" y="0"/>
          <a:ext cx="5927911" cy="14933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27</xdr:row>
          <xdr:rowOff>171450</xdr:rowOff>
        </xdr:from>
        <xdr:to>
          <xdr:col>5</xdr:col>
          <xdr:colOff>552450</xdr:colOff>
          <xdr:row>27</xdr:row>
          <xdr:rowOff>381000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180975</xdr:rowOff>
        </xdr:from>
        <xdr:to>
          <xdr:col>5</xdr:col>
          <xdr:colOff>552450</xdr:colOff>
          <xdr:row>26</xdr:row>
          <xdr:rowOff>390525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171450</xdr:rowOff>
        </xdr:from>
        <xdr:to>
          <xdr:col>5</xdr:col>
          <xdr:colOff>552450</xdr:colOff>
          <xdr:row>28</xdr:row>
          <xdr:rowOff>381000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171450</xdr:rowOff>
        </xdr:from>
        <xdr:to>
          <xdr:col>5</xdr:col>
          <xdr:colOff>552450</xdr:colOff>
          <xdr:row>29</xdr:row>
          <xdr:rowOff>381000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171450</xdr:rowOff>
        </xdr:from>
        <xdr:to>
          <xdr:col>5</xdr:col>
          <xdr:colOff>552450</xdr:colOff>
          <xdr:row>30</xdr:row>
          <xdr:rowOff>381000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171450</xdr:rowOff>
        </xdr:from>
        <xdr:to>
          <xdr:col>5</xdr:col>
          <xdr:colOff>552450</xdr:colOff>
          <xdr:row>31</xdr:row>
          <xdr:rowOff>381000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171450</xdr:rowOff>
        </xdr:from>
        <xdr:to>
          <xdr:col>5</xdr:col>
          <xdr:colOff>552450</xdr:colOff>
          <xdr:row>33</xdr:row>
          <xdr:rowOff>381000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171450</xdr:rowOff>
        </xdr:from>
        <xdr:to>
          <xdr:col>5</xdr:col>
          <xdr:colOff>552450</xdr:colOff>
          <xdr:row>34</xdr:row>
          <xdr:rowOff>381000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171450</xdr:rowOff>
        </xdr:from>
        <xdr:to>
          <xdr:col>5</xdr:col>
          <xdr:colOff>552450</xdr:colOff>
          <xdr:row>35</xdr:row>
          <xdr:rowOff>381000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171450</xdr:rowOff>
        </xdr:from>
        <xdr:to>
          <xdr:col>5</xdr:col>
          <xdr:colOff>552450</xdr:colOff>
          <xdr:row>37</xdr:row>
          <xdr:rowOff>381000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171450</xdr:rowOff>
        </xdr:from>
        <xdr:to>
          <xdr:col>5</xdr:col>
          <xdr:colOff>552450</xdr:colOff>
          <xdr:row>38</xdr:row>
          <xdr:rowOff>381000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171450</xdr:rowOff>
        </xdr:from>
        <xdr:to>
          <xdr:col>5</xdr:col>
          <xdr:colOff>552450</xdr:colOff>
          <xdr:row>39</xdr:row>
          <xdr:rowOff>381000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171450</xdr:rowOff>
        </xdr:from>
        <xdr:to>
          <xdr:col>5</xdr:col>
          <xdr:colOff>552450</xdr:colOff>
          <xdr:row>40</xdr:row>
          <xdr:rowOff>381000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171450</xdr:rowOff>
        </xdr:from>
        <xdr:to>
          <xdr:col>5</xdr:col>
          <xdr:colOff>552450</xdr:colOff>
          <xdr:row>41</xdr:row>
          <xdr:rowOff>381000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171450</xdr:rowOff>
        </xdr:from>
        <xdr:to>
          <xdr:col>5</xdr:col>
          <xdr:colOff>552450</xdr:colOff>
          <xdr:row>42</xdr:row>
          <xdr:rowOff>381000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69</xdr:row>
          <xdr:rowOff>171450</xdr:rowOff>
        </xdr:from>
        <xdr:to>
          <xdr:col>5</xdr:col>
          <xdr:colOff>552450</xdr:colOff>
          <xdr:row>69</xdr:row>
          <xdr:rowOff>381000</xdr:rowOff>
        </xdr:to>
        <xdr:sp macro="" textlink="">
          <xdr:nvSpPr>
            <xdr:cNvPr id="13328" name="Check Box 16" hidden="1">
              <a:extLst>
                <a:ext uri="{63B3BB69-23CF-44E3-9099-C40C66FF867C}">
                  <a14:compatExt spid="_x0000_s13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70</xdr:row>
          <xdr:rowOff>171450</xdr:rowOff>
        </xdr:from>
        <xdr:to>
          <xdr:col>5</xdr:col>
          <xdr:colOff>552450</xdr:colOff>
          <xdr:row>70</xdr:row>
          <xdr:rowOff>381000</xdr:rowOff>
        </xdr:to>
        <xdr:sp macro="" textlink="">
          <xdr:nvSpPr>
            <xdr:cNvPr id="13329" name="Check Box 17" hidden="1">
              <a:extLst>
                <a:ext uri="{63B3BB69-23CF-44E3-9099-C40C66FF867C}">
                  <a14:compatExt spid="_x0000_s13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80</xdr:row>
          <xdr:rowOff>171450</xdr:rowOff>
        </xdr:from>
        <xdr:to>
          <xdr:col>5</xdr:col>
          <xdr:colOff>552450</xdr:colOff>
          <xdr:row>80</xdr:row>
          <xdr:rowOff>381000</xdr:rowOff>
        </xdr:to>
        <xdr:sp macro="" textlink="">
          <xdr:nvSpPr>
            <xdr:cNvPr id="13330" name="Check Box 18" hidden="1">
              <a:extLst>
                <a:ext uri="{63B3BB69-23CF-44E3-9099-C40C66FF867C}">
                  <a14:compatExt spid="_x0000_s13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81</xdr:row>
          <xdr:rowOff>171450</xdr:rowOff>
        </xdr:from>
        <xdr:to>
          <xdr:col>5</xdr:col>
          <xdr:colOff>552450</xdr:colOff>
          <xdr:row>81</xdr:row>
          <xdr:rowOff>381000</xdr:rowOff>
        </xdr:to>
        <xdr:sp macro="" textlink="">
          <xdr:nvSpPr>
            <xdr:cNvPr id="13331" name="Check Box 19" hidden="1">
              <a:extLst>
                <a:ext uri="{63B3BB69-23CF-44E3-9099-C40C66FF867C}">
                  <a14:compatExt spid="_x0000_s13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171450</xdr:rowOff>
        </xdr:from>
        <xdr:to>
          <xdr:col>5</xdr:col>
          <xdr:colOff>552450</xdr:colOff>
          <xdr:row>103</xdr:row>
          <xdr:rowOff>381000</xdr:rowOff>
        </xdr:to>
        <xdr:sp macro="" textlink="">
          <xdr:nvSpPr>
            <xdr:cNvPr id="13332" name="Check Box 20" hidden="1">
              <a:extLst>
                <a:ext uri="{63B3BB69-23CF-44E3-9099-C40C66FF867C}">
                  <a14:compatExt spid="_x0000_s13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90</xdr:row>
          <xdr:rowOff>171450</xdr:rowOff>
        </xdr:from>
        <xdr:to>
          <xdr:col>5</xdr:col>
          <xdr:colOff>552450</xdr:colOff>
          <xdr:row>90</xdr:row>
          <xdr:rowOff>381000</xdr:rowOff>
        </xdr:to>
        <xdr:sp macro="" textlink="">
          <xdr:nvSpPr>
            <xdr:cNvPr id="13333" name="Check Box 21" hidden="1">
              <a:extLst>
                <a:ext uri="{63B3BB69-23CF-44E3-9099-C40C66FF867C}">
                  <a14:compatExt spid="_x0000_s13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91</xdr:row>
          <xdr:rowOff>171450</xdr:rowOff>
        </xdr:from>
        <xdr:to>
          <xdr:col>5</xdr:col>
          <xdr:colOff>552450</xdr:colOff>
          <xdr:row>91</xdr:row>
          <xdr:rowOff>381000</xdr:rowOff>
        </xdr:to>
        <xdr:sp macro="" textlink="">
          <xdr:nvSpPr>
            <xdr:cNvPr id="13334" name="Check Box 22" hidden="1">
              <a:extLst>
                <a:ext uri="{63B3BB69-23CF-44E3-9099-C40C66FF867C}">
                  <a14:compatExt spid="_x0000_s13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92</xdr:row>
          <xdr:rowOff>171450</xdr:rowOff>
        </xdr:from>
        <xdr:to>
          <xdr:col>5</xdr:col>
          <xdr:colOff>552450</xdr:colOff>
          <xdr:row>92</xdr:row>
          <xdr:rowOff>381000</xdr:rowOff>
        </xdr:to>
        <xdr:sp macro="" textlink="">
          <xdr:nvSpPr>
            <xdr:cNvPr id="13335" name="Check Box 23" hidden="1">
              <a:extLst>
                <a:ext uri="{63B3BB69-23CF-44E3-9099-C40C66FF867C}">
                  <a14:compatExt spid="_x0000_s13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27</xdr:row>
          <xdr:rowOff>171450</xdr:rowOff>
        </xdr:from>
        <xdr:to>
          <xdr:col>5</xdr:col>
          <xdr:colOff>552450</xdr:colOff>
          <xdr:row>27</xdr:row>
          <xdr:rowOff>381000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180975</xdr:rowOff>
        </xdr:from>
        <xdr:to>
          <xdr:col>5</xdr:col>
          <xdr:colOff>552450</xdr:colOff>
          <xdr:row>26</xdr:row>
          <xdr:rowOff>390525</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171450</xdr:rowOff>
        </xdr:from>
        <xdr:to>
          <xdr:col>5</xdr:col>
          <xdr:colOff>552450</xdr:colOff>
          <xdr:row>28</xdr:row>
          <xdr:rowOff>381000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171450</xdr:rowOff>
        </xdr:from>
        <xdr:to>
          <xdr:col>5</xdr:col>
          <xdr:colOff>552450</xdr:colOff>
          <xdr:row>29</xdr:row>
          <xdr:rowOff>381000</xdr:rowOff>
        </xdr:to>
        <xdr:sp macro="" textlink="">
          <xdr:nvSpPr>
            <xdr:cNvPr id="17412" name="Check Box 4" hidden="1">
              <a:extLst>
                <a:ext uri="{63B3BB69-23CF-44E3-9099-C40C66FF867C}">
                  <a14:compatExt spid="_x0000_s17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171450</xdr:rowOff>
        </xdr:from>
        <xdr:to>
          <xdr:col>5</xdr:col>
          <xdr:colOff>552450</xdr:colOff>
          <xdr:row>30</xdr:row>
          <xdr:rowOff>381000</xdr:rowOff>
        </xdr:to>
        <xdr:sp macro="" textlink="">
          <xdr:nvSpPr>
            <xdr:cNvPr id="17413" name="Check Box 5" hidden="1">
              <a:extLst>
                <a:ext uri="{63B3BB69-23CF-44E3-9099-C40C66FF867C}">
                  <a14:compatExt spid="_x0000_s17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171450</xdr:rowOff>
        </xdr:from>
        <xdr:to>
          <xdr:col>5</xdr:col>
          <xdr:colOff>552450</xdr:colOff>
          <xdr:row>31</xdr:row>
          <xdr:rowOff>381000</xdr:rowOff>
        </xdr:to>
        <xdr:sp macro="" textlink="">
          <xdr:nvSpPr>
            <xdr:cNvPr id="17414" name="Check Box 6" hidden="1">
              <a:extLst>
                <a:ext uri="{63B3BB69-23CF-44E3-9099-C40C66FF867C}">
                  <a14:compatExt spid="_x0000_s17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171450</xdr:rowOff>
        </xdr:from>
        <xdr:to>
          <xdr:col>5</xdr:col>
          <xdr:colOff>552450</xdr:colOff>
          <xdr:row>33</xdr:row>
          <xdr:rowOff>381000</xdr:rowOff>
        </xdr:to>
        <xdr:sp macro="" textlink="">
          <xdr:nvSpPr>
            <xdr:cNvPr id="17415" name="Check Box 7" hidden="1">
              <a:extLst>
                <a:ext uri="{63B3BB69-23CF-44E3-9099-C40C66FF867C}">
                  <a14:compatExt spid="_x0000_s17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171450</xdr:rowOff>
        </xdr:from>
        <xdr:to>
          <xdr:col>5</xdr:col>
          <xdr:colOff>552450</xdr:colOff>
          <xdr:row>34</xdr:row>
          <xdr:rowOff>381000</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171450</xdr:rowOff>
        </xdr:from>
        <xdr:to>
          <xdr:col>5</xdr:col>
          <xdr:colOff>552450</xdr:colOff>
          <xdr:row>35</xdr:row>
          <xdr:rowOff>381000</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171450</xdr:rowOff>
        </xdr:from>
        <xdr:to>
          <xdr:col>5</xdr:col>
          <xdr:colOff>552450</xdr:colOff>
          <xdr:row>37</xdr:row>
          <xdr:rowOff>381000</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171450</xdr:rowOff>
        </xdr:from>
        <xdr:to>
          <xdr:col>5</xdr:col>
          <xdr:colOff>552450</xdr:colOff>
          <xdr:row>38</xdr:row>
          <xdr:rowOff>381000</xdr:rowOff>
        </xdr:to>
        <xdr:sp macro="" textlink="">
          <xdr:nvSpPr>
            <xdr:cNvPr id="17419" name="Check Box 11" hidden="1">
              <a:extLst>
                <a:ext uri="{63B3BB69-23CF-44E3-9099-C40C66FF867C}">
                  <a14:compatExt spid="_x0000_s17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171450</xdr:rowOff>
        </xdr:from>
        <xdr:to>
          <xdr:col>5</xdr:col>
          <xdr:colOff>552450</xdr:colOff>
          <xdr:row>39</xdr:row>
          <xdr:rowOff>381000</xdr:rowOff>
        </xdr:to>
        <xdr:sp macro="" textlink="">
          <xdr:nvSpPr>
            <xdr:cNvPr id="17420" name="Check Box 12" hidden="1">
              <a:extLst>
                <a:ext uri="{63B3BB69-23CF-44E3-9099-C40C66FF867C}">
                  <a14:compatExt spid="_x0000_s17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171450</xdr:rowOff>
        </xdr:from>
        <xdr:to>
          <xdr:col>5</xdr:col>
          <xdr:colOff>552450</xdr:colOff>
          <xdr:row>40</xdr:row>
          <xdr:rowOff>381000</xdr:rowOff>
        </xdr:to>
        <xdr:sp macro="" textlink="">
          <xdr:nvSpPr>
            <xdr:cNvPr id="17421" name="Check Box 13" hidden="1">
              <a:extLst>
                <a:ext uri="{63B3BB69-23CF-44E3-9099-C40C66FF867C}">
                  <a14:compatExt spid="_x0000_s17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171450</xdr:rowOff>
        </xdr:from>
        <xdr:to>
          <xdr:col>5</xdr:col>
          <xdr:colOff>552450</xdr:colOff>
          <xdr:row>41</xdr:row>
          <xdr:rowOff>381000</xdr:rowOff>
        </xdr:to>
        <xdr:sp macro="" textlink="">
          <xdr:nvSpPr>
            <xdr:cNvPr id="17422" name="Check Box 14" hidden="1">
              <a:extLst>
                <a:ext uri="{63B3BB69-23CF-44E3-9099-C40C66FF867C}">
                  <a14:compatExt spid="_x0000_s17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171450</xdr:rowOff>
        </xdr:from>
        <xdr:to>
          <xdr:col>5</xdr:col>
          <xdr:colOff>552450</xdr:colOff>
          <xdr:row>42</xdr:row>
          <xdr:rowOff>381000</xdr:rowOff>
        </xdr:to>
        <xdr:sp macro="" textlink="">
          <xdr:nvSpPr>
            <xdr:cNvPr id="17423" name="Check Box 15" hidden="1">
              <a:extLst>
                <a:ext uri="{63B3BB69-23CF-44E3-9099-C40C66FF867C}">
                  <a14:compatExt spid="_x0000_s17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69</xdr:row>
          <xdr:rowOff>171450</xdr:rowOff>
        </xdr:from>
        <xdr:to>
          <xdr:col>5</xdr:col>
          <xdr:colOff>552450</xdr:colOff>
          <xdr:row>69</xdr:row>
          <xdr:rowOff>381000</xdr:rowOff>
        </xdr:to>
        <xdr:sp macro="" textlink="">
          <xdr:nvSpPr>
            <xdr:cNvPr id="17424" name="Check Box 16" hidden="1">
              <a:extLst>
                <a:ext uri="{63B3BB69-23CF-44E3-9099-C40C66FF867C}">
                  <a14:compatExt spid="_x0000_s17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70</xdr:row>
          <xdr:rowOff>171450</xdr:rowOff>
        </xdr:from>
        <xdr:to>
          <xdr:col>5</xdr:col>
          <xdr:colOff>552450</xdr:colOff>
          <xdr:row>70</xdr:row>
          <xdr:rowOff>381000</xdr:rowOff>
        </xdr:to>
        <xdr:sp macro="" textlink="">
          <xdr:nvSpPr>
            <xdr:cNvPr id="17425" name="Check Box 17" hidden="1">
              <a:extLst>
                <a:ext uri="{63B3BB69-23CF-44E3-9099-C40C66FF867C}">
                  <a14:compatExt spid="_x0000_s17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80</xdr:row>
          <xdr:rowOff>171450</xdr:rowOff>
        </xdr:from>
        <xdr:to>
          <xdr:col>5</xdr:col>
          <xdr:colOff>552450</xdr:colOff>
          <xdr:row>80</xdr:row>
          <xdr:rowOff>381000</xdr:rowOff>
        </xdr:to>
        <xdr:sp macro="" textlink="">
          <xdr:nvSpPr>
            <xdr:cNvPr id="17426" name="Check Box 18" hidden="1">
              <a:extLst>
                <a:ext uri="{63B3BB69-23CF-44E3-9099-C40C66FF867C}">
                  <a14:compatExt spid="_x0000_s17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81</xdr:row>
          <xdr:rowOff>171450</xdr:rowOff>
        </xdr:from>
        <xdr:to>
          <xdr:col>5</xdr:col>
          <xdr:colOff>552450</xdr:colOff>
          <xdr:row>81</xdr:row>
          <xdr:rowOff>381000</xdr:rowOff>
        </xdr:to>
        <xdr:sp macro="" textlink="">
          <xdr:nvSpPr>
            <xdr:cNvPr id="17427" name="Check Box 19" hidden="1">
              <a:extLst>
                <a:ext uri="{63B3BB69-23CF-44E3-9099-C40C66FF867C}">
                  <a14:compatExt spid="_x0000_s17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171450</xdr:rowOff>
        </xdr:from>
        <xdr:to>
          <xdr:col>5</xdr:col>
          <xdr:colOff>552450</xdr:colOff>
          <xdr:row>103</xdr:row>
          <xdr:rowOff>381000</xdr:rowOff>
        </xdr:to>
        <xdr:sp macro="" textlink="">
          <xdr:nvSpPr>
            <xdr:cNvPr id="17428" name="Check Box 20" hidden="1">
              <a:extLst>
                <a:ext uri="{63B3BB69-23CF-44E3-9099-C40C66FF867C}">
                  <a14:compatExt spid="_x0000_s17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90</xdr:row>
          <xdr:rowOff>171450</xdr:rowOff>
        </xdr:from>
        <xdr:to>
          <xdr:col>5</xdr:col>
          <xdr:colOff>552450</xdr:colOff>
          <xdr:row>90</xdr:row>
          <xdr:rowOff>381000</xdr:rowOff>
        </xdr:to>
        <xdr:sp macro="" textlink="">
          <xdr:nvSpPr>
            <xdr:cNvPr id="17429" name="Check Box 21" hidden="1">
              <a:extLst>
                <a:ext uri="{63B3BB69-23CF-44E3-9099-C40C66FF867C}">
                  <a14:compatExt spid="_x0000_s17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91</xdr:row>
          <xdr:rowOff>171450</xdr:rowOff>
        </xdr:from>
        <xdr:to>
          <xdr:col>5</xdr:col>
          <xdr:colOff>552450</xdr:colOff>
          <xdr:row>91</xdr:row>
          <xdr:rowOff>381000</xdr:rowOff>
        </xdr:to>
        <xdr:sp macro="" textlink="">
          <xdr:nvSpPr>
            <xdr:cNvPr id="17430" name="Check Box 22" hidden="1">
              <a:extLst>
                <a:ext uri="{63B3BB69-23CF-44E3-9099-C40C66FF867C}">
                  <a14:compatExt spid="_x0000_s17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92</xdr:row>
          <xdr:rowOff>171450</xdr:rowOff>
        </xdr:from>
        <xdr:to>
          <xdr:col>5</xdr:col>
          <xdr:colOff>552450</xdr:colOff>
          <xdr:row>92</xdr:row>
          <xdr:rowOff>381000</xdr:rowOff>
        </xdr:to>
        <xdr:sp macro="" textlink="">
          <xdr:nvSpPr>
            <xdr:cNvPr id="17431" name="Check Box 23" hidden="1">
              <a:extLst>
                <a:ext uri="{63B3BB69-23CF-44E3-9099-C40C66FF867C}">
                  <a14:compatExt spid="_x0000_s17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27</xdr:row>
          <xdr:rowOff>171450</xdr:rowOff>
        </xdr:from>
        <xdr:to>
          <xdr:col>5</xdr:col>
          <xdr:colOff>552450</xdr:colOff>
          <xdr:row>27</xdr:row>
          <xdr:rowOff>381000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26</xdr:row>
          <xdr:rowOff>180975</xdr:rowOff>
        </xdr:from>
        <xdr:to>
          <xdr:col>5</xdr:col>
          <xdr:colOff>552450</xdr:colOff>
          <xdr:row>26</xdr:row>
          <xdr:rowOff>390525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171450</xdr:rowOff>
        </xdr:from>
        <xdr:to>
          <xdr:col>5</xdr:col>
          <xdr:colOff>552450</xdr:colOff>
          <xdr:row>28</xdr:row>
          <xdr:rowOff>381000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171450</xdr:rowOff>
        </xdr:from>
        <xdr:to>
          <xdr:col>5</xdr:col>
          <xdr:colOff>552450</xdr:colOff>
          <xdr:row>29</xdr:row>
          <xdr:rowOff>381000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30</xdr:row>
          <xdr:rowOff>171450</xdr:rowOff>
        </xdr:from>
        <xdr:to>
          <xdr:col>5</xdr:col>
          <xdr:colOff>552450</xdr:colOff>
          <xdr:row>30</xdr:row>
          <xdr:rowOff>381000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31</xdr:row>
          <xdr:rowOff>171450</xdr:rowOff>
        </xdr:from>
        <xdr:to>
          <xdr:col>5</xdr:col>
          <xdr:colOff>552450</xdr:colOff>
          <xdr:row>31</xdr:row>
          <xdr:rowOff>381000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171450</xdr:rowOff>
        </xdr:from>
        <xdr:to>
          <xdr:col>5</xdr:col>
          <xdr:colOff>552450</xdr:colOff>
          <xdr:row>33</xdr:row>
          <xdr:rowOff>381000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171450</xdr:rowOff>
        </xdr:from>
        <xdr:to>
          <xdr:col>5</xdr:col>
          <xdr:colOff>552450</xdr:colOff>
          <xdr:row>34</xdr:row>
          <xdr:rowOff>381000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171450</xdr:rowOff>
        </xdr:from>
        <xdr:to>
          <xdr:col>5</xdr:col>
          <xdr:colOff>552450</xdr:colOff>
          <xdr:row>35</xdr:row>
          <xdr:rowOff>381000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171450</xdr:rowOff>
        </xdr:from>
        <xdr:to>
          <xdr:col>5</xdr:col>
          <xdr:colOff>552450</xdr:colOff>
          <xdr:row>37</xdr:row>
          <xdr:rowOff>381000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171450</xdr:rowOff>
        </xdr:from>
        <xdr:to>
          <xdr:col>5</xdr:col>
          <xdr:colOff>552450</xdr:colOff>
          <xdr:row>38</xdr:row>
          <xdr:rowOff>381000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171450</xdr:rowOff>
        </xdr:from>
        <xdr:to>
          <xdr:col>5</xdr:col>
          <xdr:colOff>552450</xdr:colOff>
          <xdr:row>39</xdr:row>
          <xdr:rowOff>381000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171450</xdr:rowOff>
        </xdr:from>
        <xdr:to>
          <xdr:col>5</xdr:col>
          <xdr:colOff>552450</xdr:colOff>
          <xdr:row>40</xdr:row>
          <xdr:rowOff>381000</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41</xdr:row>
          <xdr:rowOff>171450</xdr:rowOff>
        </xdr:from>
        <xdr:to>
          <xdr:col>5</xdr:col>
          <xdr:colOff>552450</xdr:colOff>
          <xdr:row>41</xdr:row>
          <xdr:rowOff>381000</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171450</xdr:rowOff>
        </xdr:from>
        <xdr:to>
          <xdr:col>5</xdr:col>
          <xdr:colOff>552450</xdr:colOff>
          <xdr:row>42</xdr:row>
          <xdr:rowOff>381000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69</xdr:row>
          <xdr:rowOff>171450</xdr:rowOff>
        </xdr:from>
        <xdr:to>
          <xdr:col>5</xdr:col>
          <xdr:colOff>552450</xdr:colOff>
          <xdr:row>69</xdr:row>
          <xdr:rowOff>381000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70</xdr:row>
          <xdr:rowOff>171450</xdr:rowOff>
        </xdr:from>
        <xdr:to>
          <xdr:col>5</xdr:col>
          <xdr:colOff>552450</xdr:colOff>
          <xdr:row>70</xdr:row>
          <xdr:rowOff>381000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80</xdr:row>
          <xdr:rowOff>171450</xdr:rowOff>
        </xdr:from>
        <xdr:to>
          <xdr:col>5</xdr:col>
          <xdr:colOff>552450</xdr:colOff>
          <xdr:row>80</xdr:row>
          <xdr:rowOff>381000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81</xdr:row>
          <xdr:rowOff>171450</xdr:rowOff>
        </xdr:from>
        <xdr:to>
          <xdr:col>5</xdr:col>
          <xdr:colOff>552450</xdr:colOff>
          <xdr:row>81</xdr:row>
          <xdr:rowOff>381000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171450</xdr:rowOff>
        </xdr:from>
        <xdr:to>
          <xdr:col>5</xdr:col>
          <xdr:colOff>552450</xdr:colOff>
          <xdr:row>103</xdr:row>
          <xdr:rowOff>381000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90</xdr:row>
          <xdr:rowOff>171450</xdr:rowOff>
        </xdr:from>
        <xdr:to>
          <xdr:col>5</xdr:col>
          <xdr:colOff>552450</xdr:colOff>
          <xdr:row>90</xdr:row>
          <xdr:rowOff>381000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91</xdr:row>
          <xdr:rowOff>171450</xdr:rowOff>
        </xdr:from>
        <xdr:to>
          <xdr:col>5</xdr:col>
          <xdr:colOff>552450</xdr:colOff>
          <xdr:row>91</xdr:row>
          <xdr:rowOff>381000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92</xdr:row>
          <xdr:rowOff>171450</xdr:rowOff>
        </xdr:from>
        <xdr:to>
          <xdr:col>5</xdr:col>
          <xdr:colOff>552450</xdr:colOff>
          <xdr:row>92</xdr:row>
          <xdr:rowOff>381000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lo-ms-file01\usershare$\zkuypers\desktop\Access%20by%20Public%20Transport%20Calculator_Release%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d-data\greenstar\jchapa\Desktop\Green%20Star-%20Multi%20Unit%20Residential%20v1%20(Maste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yd-data\greenstar\GS%20Custom\03%20Pilot\01%20Tool%20Development\05%20Excel\Excel%20-%20Calculators\Green%20Star%20-%20Calculators%20Mixed%20use%20unlocked%20revis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yd-data\greenstar\Green%20Star%20-%20Office%20As%20Built\Version%202\Excel%20Tool\Green%20Star%20-%20Office%20As%20Built%20v2%20WI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yd-data\greenstar\Green%20Star%20Rating%20System\Green%20Star%20-%20Office%20As%20Built\Version%202\Excel%20Tool\Green%20Star%20-%20Office%20As%20Built%20v2%20WI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atch"/>
      <sheetName val="Disclaimer"/>
      <sheetName val="Change Log"/>
      <sheetName val="Inputs"/>
      <sheetName val="Outputs"/>
      <sheetName val="Pop"/>
      <sheetName val="Step by Step Master"/>
      <sheetName val="Victorian"/>
      <sheetName val="geoCodingParameters"/>
      <sheetName val="Step by Step Parameters"/>
      <sheetName val="Step by Step Join"/>
      <sheetName val="API cObject names"/>
    </sheetNames>
    <sheetDataSet>
      <sheetData sheetId="0"/>
      <sheetData sheetId="1"/>
      <sheetData sheetId="2"/>
      <sheetData sheetId="3">
        <row r="5">
          <cell r="I5">
            <v>2</v>
          </cell>
        </row>
      </sheetData>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Ene-Con Calculator"/>
      <sheetName val="GHG Emissions Calculator"/>
      <sheetName val="Transport"/>
      <sheetName val="Mass Transport Calculator"/>
      <sheetName val="Water"/>
      <sheetName val="Potable Water Calculator"/>
      <sheetName val="Materials"/>
      <sheetName val="Flooring Calculator"/>
      <sheetName val="Joinery Calculator"/>
      <sheetName val="Internal Walls Calculator"/>
      <sheetName val="Land Use &amp; Ecology"/>
      <sheetName val="Ecology Calculator"/>
      <sheetName val="Emissions"/>
      <sheetName val="Sewage Calculator"/>
      <sheetName val="Innovation"/>
      <sheetName val="Credit Summary"/>
      <sheetName val="Graphical Summary"/>
      <sheetName val="Changelog"/>
      <sheetName val="Changelog_internal"/>
      <sheetName val="Calculation hidden"/>
      <sheetName val="Green Star- Multi Unit Resident"/>
      <sheetName val="Sheet1"/>
    </sheetNames>
    <sheetDataSet>
      <sheetData sheetId="0"/>
      <sheetData sheetId="1"/>
      <sheetData sheetId="2"/>
      <sheetData sheetId="3"/>
      <sheetData sheetId="4">
        <row r="33">
          <cell r="C33">
            <v>30</v>
          </cell>
        </row>
        <row r="34">
          <cell r="C34" t="str">
            <v>Please enter Gross Floor Area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5">
          <cell r="B5" t="str">
            <v>Does the site contain any rare, threatened or vulnerable flora or fauna?</v>
          </cell>
        </row>
        <row r="7">
          <cell r="B7" t="str">
            <v>In which bio-region is the site located?</v>
          </cell>
        </row>
        <row r="9">
          <cell r="C9" t="str">
            <v>Hidden</v>
          </cell>
          <cell r="D9" t="str">
            <v>BEFORE</v>
          </cell>
          <cell r="E9" t="str">
            <v>Hidden</v>
          </cell>
          <cell r="F9" t="str">
            <v>AFTER</v>
          </cell>
        </row>
        <row r="10">
          <cell r="B10" t="str">
            <v>Land Type</v>
          </cell>
          <cell r="C10" t="str">
            <v>Ecological Value</v>
          </cell>
          <cell r="D10" t="str">
            <v>Land Types Before Construction / m2</v>
          </cell>
          <cell r="E10" t="str">
            <v>Ecological Score</v>
          </cell>
          <cell r="F10" t="str">
            <v>Land Types After Construction / m2</v>
          </cell>
        </row>
        <row r="11">
          <cell r="B11" t="str">
            <v>Building</v>
          </cell>
        </row>
        <row r="12">
          <cell r="B12" t="str">
            <v>Impermeable/concreted Area</v>
          </cell>
        </row>
        <row r="13">
          <cell r="B13" t="str">
            <v>Bare Ground</v>
          </cell>
        </row>
        <row r="14">
          <cell r="B14" t="str">
            <v>Weed Infestations</v>
          </cell>
        </row>
        <row r="15">
          <cell r="B15" t="str">
            <v>Exotic Garden</v>
          </cell>
        </row>
        <row r="16">
          <cell r="B16" t="str">
            <v>Native Garden</v>
          </cell>
        </row>
        <row r="17">
          <cell r="B17" t="str">
            <v>Exotic Grazing</v>
          </cell>
        </row>
        <row r="18">
          <cell r="B18" t="str">
            <v>Native Grazing*</v>
          </cell>
        </row>
        <row r="19">
          <cell r="B19" t="str">
            <v>Crop Farming</v>
          </cell>
        </row>
        <row r="20">
          <cell r="B20" t="str">
            <v>Existing Waterway*</v>
          </cell>
        </row>
        <row r="21">
          <cell r="B21" t="str">
            <v>Wetland*</v>
          </cell>
        </row>
        <row r="22">
          <cell r="B22" t="str">
            <v>Plantation Forest</v>
          </cell>
        </row>
        <row r="23">
          <cell r="B23" t="str">
            <v>Pine Plantation Forest</v>
          </cell>
        </row>
        <row r="24">
          <cell r="B24" t="str">
            <v>Blue Gum Plantation Forest</v>
          </cell>
        </row>
        <row r="25">
          <cell r="B25" t="str">
            <v>Regenerated Native Habitat(&lt; 10 years old)*</v>
          </cell>
        </row>
        <row r="26">
          <cell r="B26" t="str">
            <v>Indigenous Native Habitat (&gt; 10 years old)*</v>
          </cell>
        </row>
        <row r="27">
          <cell r="B27" t="str">
            <v>Indigenous Native Habitat (&gt; 20 years old)*</v>
          </cell>
        </row>
        <row r="28">
          <cell r="B28" t="str">
            <v>TOTAL</v>
          </cell>
          <cell r="D28">
            <v>0</v>
          </cell>
          <cell r="E28">
            <v>0</v>
          </cell>
          <cell r="F28">
            <v>0</v>
          </cell>
        </row>
        <row r="29">
          <cell r="B29" t="str">
            <v>ECOLOGICAL DIVERSITY INDEX:</v>
          </cell>
          <cell r="D29">
            <v>0</v>
          </cell>
          <cell r="F29">
            <v>0</v>
          </cell>
        </row>
        <row r="30">
          <cell r="B30" t="str">
            <v>CHANGE IN ECOLOGICAL DIVERSITY INDEX</v>
          </cell>
          <cell r="D30">
            <v>0</v>
          </cell>
        </row>
        <row r="31">
          <cell r="B31" t="str">
            <v>Points Achieved</v>
          </cell>
          <cell r="D31">
            <v>0</v>
          </cell>
          <cell r="F31" t="str">
            <v/>
          </cell>
        </row>
      </sheetData>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en Star"/>
      <sheetName val="Introduction"/>
      <sheetName val="Disclaimer"/>
      <sheetName val="Building Input"/>
      <sheetName val="Summary"/>
      <sheetName val="Residential Ene-Con Calculator"/>
      <sheetName val="Residential Ene-1 Calculator"/>
      <sheetName val="GHG Emissions Calculator"/>
      <sheetName val="Potable Water Calculator"/>
      <sheetName val="Mass Transport Calculator"/>
      <sheetName val="Sewage Calculator"/>
      <sheetName val="Flooring Calculator"/>
      <sheetName val="Assemblies Calculator"/>
      <sheetName val="Furniture Calculator"/>
      <sheetName val="Ecology Calculator"/>
      <sheetName val="Calculation hidden"/>
      <sheetName val="Impact Categories Calculator"/>
      <sheetName val="hidd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Transport"/>
      <sheetName val="Transport Calculator"/>
      <sheetName val="Water"/>
      <sheetName val="Water Calculator"/>
      <sheetName val="Materials"/>
      <sheetName val="Land Use &amp; Ecology"/>
      <sheetName val="Ecology Calculator"/>
      <sheetName val="Emissions"/>
      <sheetName val="Sewerage Calculator"/>
      <sheetName val="Innovation"/>
      <sheetName val="Credit Summary"/>
      <sheetName val="Graphical Summary"/>
      <sheetName val="Calculation"/>
    </sheetNames>
    <sheetDataSet>
      <sheetData sheetId="0"/>
      <sheetData sheetId="1"/>
      <sheetData sheetId="2"/>
      <sheetData sheetId="3"/>
      <sheetData sheetId="4"/>
      <sheetData sheetId="5"/>
      <sheetData sheetId="6"/>
      <sheetData sheetId="7"/>
      <sheetData sheetId="8"/>
      <sheetData sheetId="9">
        <row r="5">
          <cell r="B5" t="str">
            <v>No. of Bus, Tram or Ferry Services</v>
          </cell>
        </row>
      </sheetData>
      <sheetData sheetId="10"/>
      <sheetData sheetId="11"/>
      <sheetData sheetId="12"/>
      <sheetData sheetId="13"/>
      <sheetData sheetId="14">
        <row r="5">
          <cell r="B5" t="str">
            <v>Does the site contain any rare, threatened or vulnerable flora or fauna?</v>
          </cell>
        </row>
      </sheetData>
      <sheetData sheetId="15"/>
      <sheetData sheetId="16"/>
      <sheetData sheetId="17"/>
      <sheetData sheetId="18"/>
      <sheetData sheetId="19"/>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een Star"/>
      <sheetName val="Introduction"/>
      <sheetName val="How to Use"/>
      <sheetName val="Disclaimer"/>
      <sheetName val="Building Input"/>
      <sheetName val="Management"/>
      <sheetName val="IEQ"/>
      <sheetName val="Energy"/>
      <sheetName val="Transport"/>
      <sheetName val="Transport Calculator"/>
      <sheetName val="Water"/>
      <sheetName val="Water Calculator"/>
      <sheetName val="Materials"/>
      <sheetName val="Land Use &amp; Ecology"/>
      <sheetName val="Ecology Calculator"/>
      <sheetName val="Emissions"/>
      <sheetName val="Sewerage Calculator"/>
      <sheetName val="Innovation"/>
      <sheetName val="Credit Summary"/>
      <sheetName val="Graphical Summary"/>
      <sheetName val="Calculation"/>
    </sheetNames>
    <sheetDataSet>
      <sheetData sheetId="0"/>
      <sheetData sheetId="1"/>
      <sheetData sheetId="2"/>
      <sheetData sheetId="3"/>
      <sheetData sheetId="4"/>
      <sheetData sheetId="5"/>
      <sheetData sheetId="6"/>
      <sheetData sheetId="7"/>
      <sheetData sheetId="8"/>
      <sheetData sheetId="9">
        <row r="5">
          <cell r="B5" t="str">
            <v>No. of Bus, Tram or Ferry Services</v>
          </cell>
        </row>
        <row r="6">
          <cell r="B6" t="str">
            <v>Walking Distance from Building Entrance to Public Transport</v>
          </cell>
          <cell r="C6" t="str">
            <v>Frequency of Service During Peak Periods</v>
          </cell>
        </row>
        <row r="7">
          <cell r="C7" t="str">
            <v>15 min</v>
          </cell>
          <cell r="D7" t="str">
            <v>30 min</v>
          </cell>
        </row>
        <row r="8">
          <cell r="B8" t="str">
            <v>0-250m</v>
          </cell>
        </row>
        <row r="9">
          <cell r="B9" t="str">
            <v>250-500m</v>
          </cell>
        </row>
        <row r="10">
          <cell r="B10" t="str">
            <v>500-750m</v>
          </cell>
        </row>
        <row r="11">
          <cell r="B11" t="str">
            <v>750m-1km</v>
          </cell>
        </row>
        <row r="14">
          <cell r="B14" t="str">
            <v>No. of Train Services</v>
          </cell>
        </row>
        <row r="15">
          <cell r="B15" t="str">
            <v>Walking Distance from Building Entrance to Public Transport</v>
          </cell>
          <cell r="C15" t="str">
            <v>Frequency of Service During Peak Periods</v>
          </cell>
        </row>
        <row r="16">
          <cell r="C16" t="str">
            <v>15 min</v>
          </cell>
          <cell r="D16" t="str">
            <v>30 min</v>
          </cell>
        </row>
        <row r="17">
          <cell r="B17" t="str">
            <v>0-250m</v>
          </cell>
        </row>
        <row r="18">
          <cell r="B18" t="str">
            <v>250-500m</v>
          </cell>
        </row>
        <row r="19">
          <cell r="B19" t="str">
            <v>500-750m</v>
          </cell>
        </row>
        <row r="20">
          <cell r="B20" t="str">
            <v>750m-1km</v>
          </cell>
        </row>
        <row r="22">
          <cell r="D22">
            <v>0</v>
          </cell>
        </row>
      </sheetData>
      <sheetData sheetId="10"/>
      <sheetData sheetId="11"/>
      <sheetData sheetId="12"/>
      <sheetData sheetId="13"/>
      <sheetData sheetId="14">
        <row r="5">
          <cell r="B5" t="str">
            <v>Does the site contain any rare, threatened or vulnerable flora or fauna?</v>
          </cell>
        </row>
        <row r="7">
          <cell r="B7" t="str">
            <v>In which bio-region is the site located?</v>
          </cell>
        </row>
        <row r="9">
          <cell r="C9" t="str">
            <v>Hidden</v>
          </cell>
          <cell r="D9" t="str">
            <v>BEFORE</v>
          </cell>
          <cell r="E9" t="str">
            <v>Hidden</v>
          </cell>
          <cell r="F9" t="str">
            <v>AFTER</v>
          </cell>
        </row>
        <row r="10">
          <cell r="B10" t="str">
            <v>Land Type</v>
          </cell>
          <cell r="C10" t="str">
            <v>Ecological Value</v>
          </cell>
          <cell r="D10" t="str">
            <v>Land Types Before Construction / m2</v>
          </cell>
          <cell r="E10" t="str">
            <v>Ecological Score</v>
          </cell>
          <cell r="F10" t="str">
            <v>Land Types After Construction / m2</v>
          </cell>
        </row>
        <row r="11">
          <cell r="B11" t="str">
            <v>Building</v>
          </cell>
        </row>
        <row r="12">
          <cell r="B12" t="str">
            <v>Impermeable/concreted Area</v>
          </cell>
        </row>
        <row r="13">
          <cell r="B13" t="str">
            <v>Bare Ground</v>
          </cell>
        </row>
        <row r="14">
          <cell r="B14" t="str">
            <v>Weed Infestations</v>
          </cell>
        </row>
        <row r="15">
          <cell r="B15" t="str">
            <v>Exotic Garden</v>
          </cell>
        </row>
        <row r="16">
          <cell r="B16" t="str">
            <v>Native Garden</v>
          </cell>
        </row>
        <row r="17">
          <cell r="B17" t="str">
            <v>Exotic Grazing</v>
          </cell>
        </row>
        <row r="18">
          <cell r="B18" t="str">
            <v>Native Grazing*</v>
          </cell>
        </row>
        <row r="19">
          <cell r="B19" t="str">
            <v>Crop Farming</v>
          </cell>
        </row>
        <row r="20">
          <cell r="B20" t="str">
            <v>Existing Waterway*</v>
          </cell>
        </row>
        <row r="21">
          <cell r="B21" t="str">
            <v>Wetland*</v>
          </cell>
        </row>
        <row r="22">
          <cell r="B22" t="str">
            <v>Plantation Forest</v>
          </cell>
        </row>
        <row r="23">
          <cell r="B23" t="str">
            <v>Pine Plantation Forest</v>
          </cell>
        </row>
        <row r="24">
          <cell r="B24" t="str">
            <v>Blue Gum Plantation Forest</v>
          </cell>
        </row>
        <row r="25">
          <cell r="B25" t="str">
            <v>Regenerated Native Habitat(&lt; 10 years old)*</v>
          </cell>
        </row>
        <row r="26">
          <cell r="B26" t="str">
            <v>Indigenous Native Habitat (&gt; 10 years old)*</v>
          </cell>
        </row>
        <row r="27">
          <cell r="B27" t="str">
            <v>Indigenous Native Habitat (&gt; 20 years old)*</v>
          </cell>
        </row>
        <row r="28">
          <cell r="B28" t="str">
            <v>TOTAL</v>
          </cell>
          <cell r="D28">
            <v>0</v>
          </cell>
          <cell r="E28">
            <v>0</v>
          </cell>
          <cell r="F28">
            <v>0</v>
          </cell>
        </row>
        <row r="29">
          <cell r="B29" t="str">
            <v>ECOLOGICAL DIVERSITY INDEX:</v>
          </cell>
          <cell r="D29">
            <v>0</v>
          </cell>
          <cell r="F29">
            <v>0</v>
          </cell>
        </row>
        <row r="30">
          <cell r="B30" t="str">
            <v>CHANGE IN ECOLOGICAL DIVERSITY INDEX</v>
          </cell>
          <cell r="D30">
            <v>0</v>
          </cell>
        </row>
        <row r="31">
          <cell r="B31" t="str">
            <v>Points Achieved</v>
          </cell>
          <cell r="D31">
            <v>0</v>
          </cell>
          <cell r="F31" t="str">
            <v/>
          </cell>
        </row>
      </sheetData>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Green Star Design &amp; As Built">
  <a:themeElements>
    <a:clrScheme name="Design &amp; As Built">
      <a:dk1>
        <a:srgbClr val="3F4450"/>
      </a:dk1>
      <a:lt1>
        <a:srgbClr val="FFFFFF"/>
      </a:lt1>
      <a:dk2>
        <a:srgbClr val="1E3863"/>
      </a:dk2>
      <a:lt2>
        <a:srgbClr val="FFFFFF"/>
      </a:lt2>
      <a:accent1>
        <a:srgbClr val="1E3863"/>
      </a:accent1>
      <a:accent2>
        <a:srgbClr val="455277"/>
      </a:accent2>
      <a:accent3>
        <a:srgbClr val="8F9CB1"/>
      </a:accent3>
      <a:accent4>
        <a:srgbClr val="3F4450"/>
      </a:accent4>
      <a:accent5>
        <a:srgbClr val="9EA1A6"/>
      </a:accent5>
      <a:accent6>
        <a:srgbClr val="C4C6C9"/>
      </a:accent6>
      <a:hlink>
        <a:srgbClr val="1E3863"/>
      </a:hlink>
      <a:folHlink>
        <a:srgbClr val="C5C7CA"/>
      </a:folHlink>
    </a:clrScheme>
    <a:fontScheme name="Green Star Corporat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omments" Target="../comments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vmlDrawing" Target="../drawings/vmlDrawing2.vml"/><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drawing" Target="../drawings/drawing6.xml"/><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5.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ctrlProp" Target="../ctrlProps/ctrlProp24.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omments" Target="../comments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26" Type="http://schemas.openxmlformats.org/officeDocument/2006/relationships/ctrlProp" Target="../ctrlProps/ctrlProp69.xml"/><Relationship Id="rId3" Type="http://schemas.openxmlformats.org/officeDocument/2006/relationships/vmlDrawing" Target="../drawings/vmlDrawing3.vml"/><Relationship Id="rId21" Type="http://schemas.openxmlformats.org/officeDocument/2006/relationships/ctrlProp" Target="../ctrlProps/ctrlProp64.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5" Type="http://schemas.openxmlformats.org/officeDocument/2006/relationships/ctrlProp" Target="../ctrlProps/ctrlProp68.xml"/><Relationship Id="rId2" Type="http://schemas.openxmlformats.org/officeDocument/2006/relationships/drawing" Target="../drawings/drawing7.xml"/><Relationship Id="rId16" Type="http://schemas.openxmlformats.org/officeDocument/2006/relationships/ctrlProp" Target="../ctrlProps/ctrlProp59.xml"/><Relationship Id="rId20" Type="http://schemas.openxmlformats.org/officeDocument/2006/relationships/ctrlProp" Target="../ctrlProps/ctrlProp63.xml"/><Relationship Id="rId1" Type="http://schemas.openxmlformats.org/officeDocument/2006/relationships/printerSettings" Target="../printerSettings/printerSettings6.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10" Type="http://schemas.openxmlformats.org/officeDocument/2006/relationships/ctrlProp" Target="../ctrlProps/ctrlProp53.xml"/><Relationship Id="rId19" Type="http://schemas.openxmlformats.org/officeDocument/2006/relationships/ctrlProp" Target="../ctrlProps/ctrlProp62.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 Id="rId27"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1:S18"/>
  <sheetViews>
    <sheetView showGridLines="0" showRowColHeaders="0" tabSelected="1" zoomScaleNormal="100" workbookViewId="0">
      <selection activeCell="B13" sqref="B13"/>
    </sheetView>
  </sheetViews>
  <sheetFormatPr defaultRowHeight="14.25" x14ac:dyDescent="0.2"/>
  <cols>
    <col min="1" max="1" width="3" style="163" customWidth="1"/>
    <col min="2" max="16384" width="9" style="163"/>
  </cols>
  <sheetData>
    <row r="11" spans="2:19" x14ac:dyDescent="0.2">
      <c r="P11" s="164"/>
      <c r="Q11" s="164"/>
      <c r="R11" s="164"/>
      <c r="S11" s="164"/>
    </row>
    <row r="12" spans="2:19" ht="19.5" customHeight="1" x14ac:dyDescent="0.2">
      <c r="P12" s="164"/>
      <c r="Q12" s="164"/>
      <c r="R12" s="164"/>
      <c r="S12" s="164"/>
    </row>
    <row r="13" spans="2:19" s="167" customFormat="1" ht="33.75" customHeight="1" x14ac:dyDescent="0.2">
      <c r="B13" s="174" t="s">
        <v>221</v>
      </c>
      <c r="C13" s="175"/>
      <c r="D13" s="175"/>
      <c r="E13" s="175"/>
      <c r="F13" s="175"/>
      <c r="G13" s="175"/>
      <c r="H13" s="175"/>
      <c r="I13" s="175"/>
      <c r="J13" s="175"/>
      <c r="K13" s="175"/>
      <c r="L13" s="175"/>
      <c r="M13" s="175"/>
      <c r="N13" s="175"/>
      <c r="O13" s="175"/>
      <c r="P13" s="165"/>
      <c r="Q13" s="165"/>
      <c r="R13" s="165"/>
      <c r="S13" s="166"/>
    </row>
    <row r="14" spans="2:19" x14ac:dyDescent="0.2">
      <c r="P14" s="164"/>
      <c r="Q14" s="164"/>
      <c r="R14" s="164"/>
      <c r="S14" s="164"/>
    </row>
    <row r="15" spans="2:19" x14ac:dyDescent="0.2">
      <c r="P15" s="164"/>
      <c r="Q15" s="164"/>
      <c r="R15" s="164"/>
      <c r="S15" s="164"/>
    </row>
    <row r="16" spans="2:19" x14ac:dyDescent="0.2">
      <c r="P16" s="164"/>
      <c r="Q16" s="164"/>
      <c r="R16" s="164"/>
      <c r="S16" s="164"/>
    </row>
    <row r="17" spans="16:19" x14ac:dyDescent="0.2">
      <c r="P17" s="164"/>
      <c r="Q17" s="164"/>
      <c r="R17" s="164"/>
      <c r="S17" s="164"/>
    </row>
    <row r="18" spans="16:19" x14ac:dyDescent="0.2">
      <c r="P18" s="164"/>
      <c r="Q18" s="164"/>
      <c r="R18" s="164"/>
      <c r="S18" s="164"/>
    </row>
  </sheetData>
  <sheetProtection password="E6B1" sheet="1" objects="1" scenarios="1"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showRowColHeaders="0" zoomScaleNormal="100" workbookViewId="0">
      <selection activeCell="E8" sqref="E8"/>
    </sheetView>
  </sheetViews>
  <sheetFormatPr defaultRowHeight="14.25" x14ac:dyDescent="0.2"/>
  <cols>
    <col min="1" max="1" width="3.875" style="11" customWidth="1"/>
    <col min="2" max="2" width="25.375" style="11" customWidth="1"/>
    <col min="3" max="3" width="22.375" style="11" customWidth="1"/>
    <col min="4" max="4" width="69.5" style="11" customWidth="1"/>
    <col min="5" max="5" width="26" style="11" customWidth="1"/>
    <col min="6" max="16384" width="9" style="11"/>
  </cols>
  <sheetData>
    <row r="1" spans="1:4" ht="169.5" customHeight="1" x14ac:dyDescent="0.2"/>
    <row r="2" spans="1:4" ht="15.75" customHeight="1" x14ac:dyDescent="0.2">
      <c r="A2" s="117"/>
      <c r="B2" s="117"/>
      <c r="C2" s="117"/>
    </row>
    <row r="3" spans="1:4" ht="33.75" customHeight="1" x14ac:dyDescent="0.2">
      <c r="B3" s="171" t="s">
        <v>338</v>
      </c>
      <c r="C3" s="172"/>
      <c r="D3" s="173"/>
    </row>
    <row r="5" spans="1:4" ht="56.25" customHeight="1" x14ac:dyDescent="0.2">
      <c r="B5" s="315" t="s">
        <v>222</v>
      </c>
      <c r="C5" s="315"/>
      <c r="D5" s="315"/>
    </row>
    <row r="7" spans="1:4" ht="25.5" customHeight="1" x14ac:dyDescent="0.2">
      <c r="B7" s="247"/>
      <c r="C7" s="170" t="s">
        <v>224</v>
      </c>
      <c r="D7" s="170" t="s">
        <v>223</v>
      </c>
    </row>
    <row r="8" spans="1:4" ht="135" customHeight="1" x14ac:dyDescent="0.2">
      <c r="B8" s="316" t="s">
        <v>330</v>
      </c>
      <c r="C8" s="193" t="s">
        <v>332</v>
      </c>
      <c r="D8" s="193" t="s">
        <v>337</v>
      </c>
    </row>
    <row r="9" spans="1:4" ht="30.75" customHeight="1" x14ac:dyDescent="0.2">
      <c r="B9" s="317"/>
      <c r="C9" s="193" t="s">
        <v>329</v>
      </c>
      <c r="D9" s="193" t="s">
        <v>333</v>
      </c>
    </row>
    <row r="10" spans="1:4" ht="24" customHeight="1" x14ac:dyDescent="0.2">
      <c r="B10" s="317"/>
      <c r="C10" s="193" t="s">
        <v>328</v>
      </c>
      <c r="D10" s="193" t="s">
        <v>334</v>
      </c>
    </row>
    <row r="11" spans="1:4" ht="85.5" customHeight="1" x14ac:dyDescent="0.2">
      <c r="B11" s="318"/>
      <c r="C11" s="193" t="s">
        <v>327</v>
      </c>
      <c r="D11" s="193" t="s">
        <v>335</v>
      </c>
    </row>
    <row r="12" spans="1:4" ht="24" customHeight="1" x14ac:dyDescent="0.2">
      <c r="B12" s="234" t="s">
        <v>331</v>
      </c>
      <c r="C12" s="168" t="s">
        <v>225</v>
      </c>
      <c r="D12" s="169" t="s">
        <v>336</v>
      </c>
    </row>
  </sheetData>
  <sheetProtection algorithmName="SHA-512" hashValue="rsBcnjbY4cYIHbxHGFXBNBwGRCO3PJzudTGe5peP4se0L2D1yDKyiAwWMU6QjSxCcNiqT2Z9UQa33E90vvld4A==" saltValue="TZoBjfPkeMh2jIZZicBzlw==" spinCount="100000" sheet="1" objects="1" scenarios="1" selectLockedCells="1" selectUnlockedCells="1"/>
  <mergeCells count="2">
    <mergeCell ref="B5:D5"/>
    <mergeCell ref="B8:B11"/>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5"/>
  <sheetViews>
    <sheetView showGridLines="0" showRowColHeaders="0" zoomScaleNormal="100" workbookViewId="0">
      <selection activeCell="B5" sqref="B5:F5"/>
    </sheetView>
  </sheetViews>
  <sheetFormatPr defaultColWidth="7.875" defaultRowHeight="14.25" x14ac:dyDescent="0.2"/>
  <cols>
    <col min="1" max="1" width="3.25" style="184" customWidth="1"/>
    <col min="2" max="2" width="35.625" style="185" customWidth="1"/>
    <col min="3" max="3" width="3.25" style="185" customWidth="1"/>
    <col min="4" max="4" width="35.625" style="185" customWidth="1"/>
    <col min="5" max="5" width="3.25" style="185" customWidth="1"/>
    <col min="6" max="6" width="25.625" style="185" customWidth="1"/>
    <col min="7" max="7" width="3.25" style="185" customWidth="1"/>
    <col min="8" max="32" width="7.875" style="184"/>
    <col min="33" max="16384" width="7.875" style="185"/>
  </cols>
  <sheetData>
    <row r="1" spans="1:7" ht="156" customHeight="1" x14ac:dyDescent="0.2">
      <c r="A1" s="176"/>
      <c r="B1" s="176"/>
      <c r="C1" s="176"/>
      <c r="D1" s="176"/>
      <c r="E1" s="176"/>
      <c r="F1" s="176"/>
      <c r="G1" s="176"/>
    </row>
    <row r="2" spans="1:7" x14ac:dyDescent="0.2">
      <c r="A2" s="176"/>
      <c r="B2" s="176"/>
      <c r="C2" s="176"/>
      <c r="D2" s="176"/>
      <c r="E2" s="176"/>
      <c r="F2" s="176"/>
      <c r="G2" s="176"/>
    </row>
    <row r="3" spans="1:7" ht="33.75" customHeight="1" x14ac:dyDescent="0.2">
      <c r="A3" s="176"/>
      <c r="B3" s="186" t="s">
        <v>162</v>
      </c>
      <c r="C3" s="177"/>
      <c r="D3" s="177"/>
      <c r="E3" s="177"/>
      <c r="F3" s="177"/>
      <c r="G3" s="176"/>
    </row>
    <row r="4" spans="1:7" ht="15" x14ac:dyDescent="0.25">
      <c r="A4" s="176"/>
      <c r="B4" s="179"/>
      <c r="C4" s="178"/>
      <c r="D4" s="178"/>
      <c r="E4" s="178"/>
      <c r="F4" s="178"/>
      <c r="G4" s="176"/>
    </row>
    <row r="5" spans="1:7" ht="256.5" customHeight="1" x14ac:dyDescent="0.2">
      <c r="B5" s="319" t="s">
        <v>317</v>
      </c>
      <c r="C5" s="319"/>
      <c r="D5" s="319"/>
      <c r="E5" s="319"/>
      <c r="F5" s="319"/>
      <c r="G5" s="180"/>
    </row>
    <row r="6" spans="1:7" x14ac:dyDescent="0.2">
      <c r="A6" s="180"/>
      <c r="B6" s="182"/>
      <c r="C6" s="181"/>
      <c r="D6" s="182"/>
      <c r="E6" s="181"/>
      <c r="F6" s="182"/>
      <c r="G6" s="180"/>
    </row>
    <row r="7" spans="1:7" ht="33.75" customHeight="1" x14ac:dyDescent="0.2">
      <c r="A7" s="180"/>
      <c r="B7" s="187" t="s">
        <v>156</v>
      </c>
      <c r="C7" s="188"/>
      <c r="D7" s="188"/>
      <c r="E7" s="188"/>
      <c r="F7" s="188"/>
      <c r="G7" s="180"/>
    </row>
    <row r="8" spans="1:7" x14ac:dyDescent="0.2">
      <c r="A8" s="180"/>
      <c r="B8" s="319" t="s">
        <v>318</v>
      </c>
      <c r="C8" s="319"/>
      <c r="D8" s="319"/>
      <c r="E8" s="319"/>
      <c r="F8" s="319"/>
      <c r="G8" s="180"/>
    </row>
    <row r="9" spans="1:7" x14ac:dyDescent="0.2">
      <c r="A9" s="180"/>
      <c r="B9" s="319"/>
      <c r="C9" s="319"/>
      <c r="D9" s="319"/>
      <c r="E9" s="319"/>
      <c r="F9" s="319"/>
      <c r="G9" s="180"/>
    </row>
    <row r="10" spans="1:7" x14ac:dyDescent="0.2">
      <c r="A10" s="183"/>
      <c r="B10" s="319"/>
      <c r="C10" s="319"/>
      <c r="D10" s="319"/>
      <c r="E10" s="319"/>
      <c r="F10" s="319"/>
      <c r="G10" s="183"/>
    </row>
    <row r="11" spans="1:7" x14ac:dyDescent="0.2">
      <c r="A11" s="183"/>
      <c r="B11" s="319"/>
      <c r="C11" s="319"/>
      <c r="D11" s="319"/>
      <c r="E11" s="319"/>
      <c r="F11" s="319"/>
      <c r="G11" s="183"/>
    </row>
    <row r="12" spans="1:7" x14ac:dyDescent="0.2">
      <c r="A12" s="183"/>
      <c r="B12" s="319"/>
      <c r="C12" s="319"/>
      <c r="D12" s="319"/>
      <c r="E12" s="319"/>
      <c r="F12" s="319"/>
      <c r="G12" s="183"/>
    </row>
    <row r="13" spans="1:7" x14ac:dyDescent="0.2">
      <c r="A13" s="183"/>
      <c r="B13" s="319"/>
      <c r="C13" s="319"/>
      <c r="D13" s="319"/>
      <c r="E13" s="319"/>
      <c r="F13" s="319"/>
      <c r="G13" s="183"/>
    </row>
    <row r="14" spans="1:7" x14ac:dyDescent="0.2">
      <c r="A14" s="183"/>
      <c r="B14" s="319"/>
      <c r="C14" s="319"/>
      <c r="D14" s="319"/>
      <c r="E14" s="319"/>
      <c r="F14" s="319"/>
      <c r="G14" s="183"/>
    </row>
    <row r="15" spans="1:7" x14ac:dyDescent="0.2">
      <c r="A15" s="183"/>
      <c r="B15" s="319"/>
      <c r="C15" s="319"/>
      <c r="D15" s="319"/>
      <c r="E15" s="319"/>
      <c r="F15" s="319"/>
      <c r="G15" s="183"/>
    </row>
    <row r="16" spans="1:7" ht="186.75" customHeight="1" x14ac:dyDescent="0.2">
      <c r="A16" s="183"/>
      <c r="B16" s="319"/>
      <c r="C16" s="319"/>
      <c r="D16" s="319"/>
      <c r="E16" s="319"/>
      <c r="F16" s="319"/>
      <c r="G16" s="183"/>
    </row>
    <row r="17" spans="1:7" x14ac:dyDescent="0.2">
      <c r="A17" s="183"/>
      <c r="B17" s="245"/>
      <c r="C17" s="245"/>
      <c r="D17" s="245"/>
      <c r="E17" s="245"/>
      <c r="F17" s="245"/>
      <c r="G17" s="183"/>
    </row>
    <row r="18" spans="1:7" ht="33.75" customHeight="1" x14ac:dyDescent="0.2">
      <c r="A18" s="180"/>
      <c r="B18" s="187" t="s">
        <v>315</v>
      </c>
      <c r="C18" s="188"/>
      <c r="D18" s="188"/>
      <c r="E18" s="188"/>
      <c r="F18" s="188"/>
      <c r="G18" s="180"/>
    </row>
    <row r="19" spans="1:7" x14ac:dyDescent="0.2">
      <c r="A19" s="183"/>
      <c r="B19" s="183"/>
      <c r="C19" s="183"/>
      <c r="D19" s="183"/>
      <c r="E19" s="183"/>
      <c r="F19" s="183"/>
      <c r="G19" s="183"/>
    </row>
    <row r="20" spans="1:7" ht="60" customHeight="1" x14ac:dyDescent="0.2">
      <c r="A20" s="183"/>
      <c r="B20" s="320" t="s">
        <v>316</v>
      </c>
      <c r="C20" s="321"/>
      <c r="D20" s="321"/>
      <c r="E20" s="321"/>
      <c r="F20" s="321"/>
      <c r="G20" s="183"/>
    </row>
    <row r="21" spans="1:7" x14ac:dyDescent="0.2">
      <c r="A21" s="183"/>
      <c r="B21" s="183"/>
      <c r="C21" s="183"/>
      <c r="D21" s="183"/>
      <c r="E21" s="183"/>
      <c r="F21" s="183"/>
      <c r="G21" s="183"/>
    </row>
    <row r="22" spans="1:7" x14ac:dyDescent="0.2">
      <c r="A22" s="183"/>
      <c r="B22" s="183"/>
      <c r="C22" s="183"/>
      <c r="D22" s="183"/>
      <c r="E22" s="183"/>
      <c r="F22" s="183"/>
      <c r="G22" s="183"/>
    </row>
    <row r="23" spans="1:7" x14ac:dyDescent="0.2">
      <c r="A23" s="183"/>
      <c r="B23" s="183"/>
      <c r="C23" s="183"/>
      <c r="D23" s="183"/>
      <c r="E23" s="183"/>
      <c r="F23" s="183"/>
      <c r="G23" s="183"/>
    </row>
    <row r="24" spans="1:7" x14ac:dyDescent="0.2">
      <c r="A24" s="183"/>
      <c r="B24" s="183"/>
      <c r="C24" s="183"/>
      <c r="D24" s="183"/>
      <c r="E24" s="183"/>
      <c r="F24" s="183"/>
      <c r="G24" s="183"/>
    </row>
    <row r="25" spans="1:7" x14ac:dyDescent="0.2">
      <c r="A25" s="183"/>
      <c r="B25" s="183"/>
      <c r="C25" s="183"/>
      <c r="D25" s="183"/>
      <c r="E25" s="183"/>
      <c r="F25" s="183"/>
      <c r="G25" s="183"/>
    </row>
  </sheetData>
  <sheetProtection password="E6B1" sheet="1" objects="1" scenarios="1" selectLockedCells="1" selectUnlockedCells="1"/>
  <mergeCells count="3">
    <mergeCell ref="B5:F5"/>
    <mergeCell ref="B8:F16"/>
    <mergeCell ref="B20:F20"/>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showGridLines="0" showRowColHeaders="0" topLeftCell="A2" zoomScaleNormal="100" workbookViewId="0">
      <selection activeCell="D44" sqref="D44"/>
    </sheetView>
  </sheetViews>
  <sheetFormatPr defaultRowHeight="14.25" x14ac:dyDescent="0.2"/>
  <cols>
    <col min="1" max="1" width="2.875" style="118" customWidth="1"/>
    <col min="2" max="2" width="37.875" style="118" customWidth="1"/>
    <col min="3" max="3" width="39.25" style="118" customWidth="1"/>
    <col min="4" max="4" width="50" style="118" customWidth="1"/>
    <col min="5" max="5" width="36.5" style="118" hidden="1" customWidth="1"/>
    <col min="6" max="6" width="13.75" style="118" customWidth="1"/>
    <col min="7" max="16384" width="9" style="118"/>
  </cols>
  <sheetData>
    <row r="1" spans="1:9" hidden="1" x14ac:dyDescent="0.2">
      <c r="A1" s="118" t="s">
        <v>71</v>
      </c>
      <c r="E1" s="118" t="s">
        <v>71</v>
      </c>
    </row>
    <row r="2" spans="1:9" ht="115.5" customHeight="1" x14ac:dyDescent="0.2"/>
    <row r="4" spans="1:9" s="1" customFormat="1" ht="15" x14ac:dyDescent="0.2">
      <c r="B4" s="119" t="s">
        <v>73</v>
      </c>
      <c r="C4" s="119"/>
      <c r="E4" s="1" t="s">
        <v>74</v>
      </c>
      <c r="I4" s="2"/>
    </row>
    <row r="5" spans="1:9" ht="16.5" x14ac:dyDescent="0.2">
      <c r="B5" s="127" t="s">
        <v>75</v>
      </c>
      <c r="C5" s="123"/>
      <c r="E5" s="118" t="s">
        <v>76</v>
      </c>
      <c r="I5" s="2"/>
    </row>
    <row r="6" spans="1:9" ht="16.5" x14ac:dyDescent="0.2">
      <c r="B6" s="322" t="s">
        <v>77</v>
      </c>
      <c r="C6" s="123"/>
      <c r="E6" s="118" t="s">
        <v>78</v>
      </c>
    </row>
    <row r="7" spans="1:9" ht="16.5" x14ac:dyDescent="0.2">
      <c r="B7" s="323"/>
      <c r="C7" s="123"/>
      <c r="E7" s="118" t="s">
        <v>79</v>
      </c>
    </row>
    <row r="8" spans="1:9" ht="16.5" x14ac:dyDescent="0.2">
      <c r="B8" s="324"/>
      <c r="C8" s="123"/>
      <c r="E8" s="118" t="s">
        <v>80</v>
      </c>
    </row>
    <row r="9" spans="1:9" ht="16.5" x14ac:dyDescent="0.2">
      <c r="B9" s="127" t="s">
        <v>81</v>
      </c>
      <c r="C9" s="123"/>
      <c r="E9" s="118" t="s">
        <v>82</v>
      </c>
    </row>
    <row r="10" spans="1:9" ht="16.5" x14ac:dyDescent="0.2">
      <c r="B10" s="127" t="s">
        <v>83</v>
      </c>
      <c r="C10" s="123"/>
      <c r="E10" s="118" t="s">
        <v>84</v>
      </c>
    </row>
    <row r="11" spans="1:9" ht="15" x14ac:dyDescent="0.2">
      <c r="B11" s="3"/>
      <c r="C11" s="4"/>
      <c r="E11" s="118" t="s">
        <v>85</v>
      </c>
    </row>
    <row r="12" spans="1:9" ht="15" x14ac:dyDescent="0.2">
      <c r="B12" s="119" t="s">
        <v>165</v>
      </c>
      <c r="C12" s="119"/>
    </row>
    <row r="13" spans="1:9" ht="16.5" x14ac:dyDescent="0.2">
      <c r="B13" s="127" t="s">
        <v>166</v>
      </c>
      <c r="C13" s="123"/>
    </row>
    <row r="14" spans="1:9" ht="16.5" x14ac:dyDescent="0.2">
      <c r="B14" s="127" t="s">
        <v>167</v>
      </c>
      <c r="C14" s="123"/>
    </row>
    <row r="15" spans="1:9" ht="16.5" x14ac:dyDescent="0.2">
      <c r="B15" s="127" t="s">
        <v>168</v>
      </c>
      <c r="C15" s="123"/>
    </row>
    <row r="16" spans="1:9" ht="16.5" x14ac:dyDescent="0.2">
      <c r="B16" s="127" t="s">
        <v>169</v>
      </c>
      <c r="C16" s="123"/>
    </row>
    <row r="17" spans="2:3" ht="16.5" x14ac:dyDescent="0.2">
      <c r="B17" s="127" t="s">
        <v>171</v>
      </c>
      <c r="C17" s="123"/>
    </row>
    <row r="18" spans="2:3" ht="16.5" x14ac:dyDescent="0.2">
      <c r="B18" s="127" t="s">
        <v>170</v>
      </c>
      <c r="C18" s="123"/>
    </row>
    <row r="19" spans="2:3" ht="16.5" x14ac:dyDescent="0.2">
      <c r="B19" s="127" t="s">
        <v>172</v>
      </c>
      <c r="C19" s="123"/>
    </row>
    <row r="20" spans="2:3" ht="15" x14ac:dyDescent="0.2">
      <c r="B20" s="119" t="s">
        <v>70</v>
      </c>
      <c r="C20" s="120">
        <f>SUM(C13:C19)</f>
        <v>0</v>
      </c>
    </row>
    <row r="21" spans="2:3" ht="15" x14ac:dyDescent="0.2">
      <c r="B21" s="3"/>
      <c r="C21" s="4"/>
    </row>
    <row r="22" spans="2:3" ht="15" x14ac:dyDescent="0.2">
      <c r="B22" s="119" t="s">
        <v>86</v>
      </c>
      <c r="C22" s="119"/>
    </row>
    <row r="23" spans="2:3" ht="16.5" x14ac:dyDescent="0.2">
      <c r="B23" s="127" t="s">
        <v>87</v>
      </c>
      <c r="C23" s="123"/>
    </row>
    <row r="24" spans="2:3" ht="16.5" x14ac:dyDescent="0.2">
      <c r="B24" s="127" t="s">
        <v>88</v>
      </c>
      <c r="C24" s="123"/>
    </row>
    <row r="25" spans="2:3" ht="16.5" x14ac:dyDescent="0.2">
      <c r="B25" s="121"/>
      <c r="C25" s="122"/>
    </row>
    <row r="26" spans="2:3" ht="15" x14ac:dyDescent="0.2">
      <c r="B26" s="119" t="s">
        <v>106</v>
      </c>
      <c r="C26" s="119" t="s">
        <v>118</v>
      </c>
    </row>
    <row r="27" spans="2:3" ht="16.5" x14ac:dyDescent="0.2">
      <c r="B27" s="127" t="s">
        <v>108</v>
      </c>
      <c r="C27" s="123"/>
    </row>
    <row r="28" spans="2:3" ht="16.5" x14ac:dyDescent="0.2">
      <c r="B28" s="127" t="s">
        <v>107</v>
      </c>
      <c r="C28" s="123"/>
    </row>
    <row r="29" spans="2:3" ht="16.5" x14ac:dyDescent="0.2">
      <c r="B29" s="127" t="s">
        <v>109</v>
      </c>
      <c r="C29" s="123"/>
    </row>
    <row r="30" spans="2:3" ht="16.5" x14ac:dyDescent="0.2">
      <c r="B30" s="127" t="s">
        <v>110</v>
      </c>
      <c r="C30" s="123"/>
    </row>
    <row r="31" spans="2:3" ht="16.5" x14ac:dyDescent="0.2">
      <c r="B31" s="127" t="s">
        <v>111</v>
      </c>
      <c r="C31" s="123"/>
    </row>
    <row r="32" spans="2:3" ht="16.5" x14ac:dyDescent="0.2">
      <c r="B32" s="127" t="s">
        <v>112</v>
      </c>
      <c r="C32" s="123"/>
    </row>
    <row r="33" spans="2:3" ht="16.5" x14ac:dyDescent="0.2">
      <c r="B33" s="127" t="s">
        <v>113</v>
      </c>
      <c r="C33" s="123"/>
    </row>
    <row r="34" spans="2:3" ht="16.5" x14ac:dyDescent="0.2">
      <c r="B34" s="127" t="s">
        <v>114</v>
      </c>
      <c r="C34" s="123"/>
    </row>
    <row r="35" spans="2:3" ht="16.5" x14ac:dyDescent="0.2">
      <c r="B35" s="127" t="s">
        <v>115</v>
      </c>
      <c r="C35" s="123"/>
    </row>
    <row r="36" spans="2:3" ht="16.5" x14ac:dyDescent="0.2">
      <c r="B36" s="127" t="s">
        <v>116</v>
      </c>
      <c r="C36" s="123"/>
    </row>
    <row r="37" spans="2:3" ht="16.5" x14ac:dyDescent="0.2">
      <c r="B37" s="127" t="s">
        <v>117</v>
      </c>
      <c r="C37" s="123"/>
    </row>
    <row r="38" spans="2:3" ht="16.5" x14ac:dyDescent="0.2">
      <c r="B38" s="121"/>
      <c r="C38" s="122"/>
    </row>
    <row r="39" spans="2:3" ht="15" x14ac:dyDescent="0.2">
      <c r="B39" s="119" t="s">
        <v>320</v>
      </c>
      <c r="C39" s="119" t="s">
        <v>321</v>
      </c>
    </row>
    <row r="40" spans="2:3" ht="16.5" x14ac:dyDescent="0.2">
      <c r="B40" s="127" t="s">
        <v>323</v>
      </c>
      <c r="C40" s="123"/>
    </row>
    <row r="41" spans="2:3" ht="16.5" x14ac:dyDescent="0.2">
      <c r="B41" s="127" t="s">
        <v>322</v>
      </c>
      <c r="C41" s="123"/>
    </row>
    <row r="42" spans="2:3" ht="16.5" x14ac:dyDescent="0.2">
      <c r="B42" s="127" t="s">
        <v>324</v>
      </c>
      <c r="C42" s="123"/>
    </row>
    <row r="43" spans="2:3" ht="16.5" x14ac:dyDescent="0.2">
      <c r="B43" s="127" t="s">
        <v>325</v>
      </c>
      <c r="C43" s="123"/>
    </row>
    <row r="44" spans="2:3" ht="16.5" x14ac:dyDescent="0.2">
      <c r="B44" s="127" t="s">
        <v>326</v>
      </c>
      <c r="C44" s="123"/>
    </row>
    <row r="45" spans="2:3" ht="15" x14ac:dyDescent="0.2">
      <c r="B45" s="3"/>
      <c r="C45" s="5"/>
    </row>
    <row r="46" spans="2:3" ht="15" x14ac:dyDescent="0.2">
      <c r="B46" s="119" t="s">
        <v>89</v>
      </c>
      <c r="C46" s="119"/>
    </row>
    <row r="47" spans="2:3" ht="16.5" customHeight="1" x14ac:dyDescent="0.2">
      <c r="B47" s="322" t="s">
        <v>90</v>
      </c>
      <c r="C47" s="325"/>
    </row>
    <row r="48" spans="2:3" ht="162.75" customHeight="1" x14ac:dyDescent="0.2">
      <c r="B48" s="324"/>
      <c r="C48" s="326"/>
    </row>
  </sheetData>
  <sheetProtection password="E6B1" sheet="1" objects="1" scenarios="1"/>
  <mergeCells count="3">
    <mergeCell ref="B6:B8"/>
    <mergeCell ref="C47:C48"/>
    <mergeCell ref="B47:B48"/>
  </mergeCells>
  <dataValidations count="1">
    <dataValidation type="list" allowBlank="1" showInputMessage="1" showErrorMessage="1" sqref="C10">
      <formula1>$E$4:$E$11</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40"/>
  <sheetViews>
    <sheetView showGridLines="0" showRowColHeaders="0" zoomScale="70" zoomScaleNormal="70" workbookViewId="0">
      <pane ySplit="5" topLeftCell="A6" activePane="bottomLeft" state="frozen"/>
      <selection pane="bottomLeft" activeCell="K7" sqref="K7"/>
    </sheetView>
  </sheetViews>
  <sheetFormatPr defaultRowHeight="14.25" x14ac:dyDescent="0.2"/>
  <cols>
    <col min="1" max="3" width="9" style="189" hidden="1" customWidth="1"/>
    <col min="4" max="4" width="2.75" style="189" customWidth="1"/>
    <col min="5" max="5" width="4" style="189" customWidth="1"/>
    <col min="6" max="6" width="24" style="10" customWidth="1"/>
    <col min="7" max="7" width="47.875" style="10" customWidth="1"/>
    <col min="8" max="8" width="9.625" style="8" customWidth="1"/>
    <col min="9" max="9" width="42.875" style="10" customWidth="1"/>
    <col min="10" max="11" width="14" style="8" customWidth="1"/>
    <col min="12" max="12" width="14" style="11" customWidth="1"/>
    <col min="13" max="14" width="14" style="8" customWidth="1"/>
    <col min="15" max="16" width="14" style="8" hidden="1" customWidth="1"/>
    <col min="17" max="17" width="24" style="219" customWidth="1"/>
    <col min="18" max="18" width="9.25" style="11" customWidth="1"/>
    <col min="19" max="19" width="57.25" style="291" customWidth="1"/>
    <col min="20" max="20" width="9" style="11"/>
    <col min="21" max="21" width="9" style="11" customWidth="1"/>
    <col min="22" max="22" width="31.25" style="11" hidden="1" customWidth="1"/>
    <col min="23" max="23" width="9" style="11" hidden="1" customWidth="1"/>
    <col min="24" max="25" width="15.75" style="11" hidden="1" customWidth="1"/>
    <col min="26" max="26" width="9" style="11" hidden="1" customWidth="1"/>
    <col min="27" max="16384" width="9" style="11"/>
  </cols>
  <sheetData>
    <row r="1" spans="1:26" ht="43.5" customHeight="1" x14ac:dyDescent="0.7">
      <c r="A1" s="189" t="s">
        <v>71</v>
      </c>
      <c r="B1" s="189" t="s">
        <v>71</v>
      </c>
      <c r="C1" s="189" t="s">
        <v>71</v>
      </c>
      <c r="F1" s="361" t="s">
        <v>91</v>
      </c>
      <c r="G1" s="362"/>
      <c r="H1" s="362"/>
      <c r="I1" s="362"/>
      <c r="J1" s="6"/>
      <c r="K1" s="6"/>
      <c r="L1" s="7"/>
      <c r="O1" s="8" t="s">
        <v>71</v>
      </c>
      <c r="P1" s="8" t="s">
        <v>71</v>
      </c>
      <c r="Q1" s="214"/>
      <c r="R1" s="9"/>
      <c r="T1" s="9"/>
      <c r="V1" s="11" t="s">
        <v>71</v>
      </c>
      <c r="W1" s="11" t="s">
        <v>71</v>
      </c>
      <c r="X1" s="11" t="s">
        <v>71</v>
      </c>
      <c r="Y1" s="11" t="s">
        <v>71</v>
      </c>
    </row>
    <row r="2" spans="1:26" ht="37.5" customHeight="1" thickBot="1" x14ac:dyDescent="0.25">
      <c r="A2" s="205" t="s">
        <v>211</v>
      </c>
      <c r="B2" s="205" t="s">
        <v>212</v>
      </c>
      <c r="C2" s="206" t="s">
        <v>213</v>
      </c>
      <c r="F2" s="12" t="s">
        <v>92</v>
      </c>
      <c r="G2" s="363">
        <f>'Building Input Sheet'!C5</f>
        <v>0</v>
      </c>
      <c r="H2" s="364"/>
      <c r="I2" s="13"/>
      <c r="J2" s="14" t="s">
        <v>217</v>
      </c>
      <c r="K2" s="14" t="s">
        <v>218</v>
      </c>
      <c r="L2" s="15"/>
      <c r="M2" s="14" t="s">
        <v>105</v>
      </c>
      <c r="N2" s="14" t="s">
        <v>154</v>
      </c>
      <c r="O2" s="16"/>
      <c r="P2" s="16"/>
      <c r="Q2" s="215"/>
      <c r="R2" s="17"/>
      <c r="T2" s="18"/>
    </row>
    <row r="3" spans="1:26" ht="37.5" customHeight="1" thickBot="1" x14ac:dyDescent="0.25">
      <c r="F3" s="19" t="s">
        <v>153</v>
      </c>
      <c r="G3" s="365" t="str">
        <f>IF(K3&gt;=75,"6 Stars - World Excellence",IF(K3&gt;=60,"5 Star - Australian Excellence",IF(K3&gt;=45,"4 Star - Best Practice","")))</f>
        <v/>
      </c>
      <c r="H3" s="366"/>
      <c r="I3" s="20"/>
      <c r="J3" s="149">
        <f>J126</f>
        <v>100</v>
      </c>
      <c r="K3" s="150">
        <f>K129</f>
        <v>0</v>
      </c>
      <c r="L3" s="15"/>
      <c r="M3" s="212">
        <f>M126</f>
        <v>0</v>
      </c>
      <c r="N3" s="212">
        <f>N126</f>
        <v>0</v>
      </c>
      <c r="O3" s="21"/>
      <c r="P3" s="203" t="str">
        <f>IF(Q139&lt;=SUM(P135:P136),"",R139)</f>
        <v/>
      </c>
      <c r="Q3" s="216"/>
      <c r="R3" s="17"/>
      <c r="S3" s="292"/>
      <c r="T3" s="18"/>
    </row>
    <row r="4" spans="1:26" ht="37.5" customHeight="1" x14ac:dyDescent="0.2">
      <c r="G4" s="22"/>
      <c r="H4" s="23"/>
      <c r="I4" s="22"/>
      <c r="J4" s="23"/>
      <c r="K4" s="23"/>
      <c r="L4" s="15"/>
      <c r="M4" s="23"/>
      <c r="N4" s="23"/>
      <c r="O4" s="23"/>
      <c r="P4" s="23"/>
      <c r="Q4" s="217"/>
      <c r="R4" s="9"/>
      <c r="S4" s="293"/>
      <c r="T4" s="9"/>
    </row>
    <row r="5" spans="1:26" ht="45" customHeight="1" x14ac:dyDescent="0.2">
      <c r="E5" s="190" t="s">
        <v>173</v>
      </c>
      <c r="F5" s="24" t="s">
        <v>15</v>
      </c>
      <c r="G5" s="24" t="s">
        <v>65</v>
      </c>
      <c r="H5" s="14" t="s">
        <v>93</v>
      </c>
      <c r="I5" s="24" t="s">
        <v>16</v>
      </c>
      <c r="J5" s="14" t="s">
        <v>72</v>
      </c>
      <c r="K5" s="14" t="s">
        <v>17</v>
      </c>
      <c r="L5" s="25"/>
      <c r="M5" s="14" t="s">
        <v>151</v>
      </c>
      <c r="N5" s="14" t="s">
        <v>155</v>
      </c>
      <c r="O5" s="14" t="s">
        <v>226</v>
      </c>
      <c r="P5" s="14" t="s">
        <v>227</v>
      </c>
      <c r="Q5" s="218" t="s">
        <v>61</v>
      </c>
      <c r="R5" s="26"/>
      <c r="S5" s="253" t="s">
        <v>152</v>
      </c>
      <c r="T5" s="9"/>
    </row>
    <row r="6" spans="1:26" ht="45" customHeight="1" x14ac:dyDescent="0.2">
      <c r="F6" s="27" t="s">
        <v>0</v>
      </c>
      <c r="G6" s="28"/>
      <c r="H6" s="29"/>
      <c r="I6" s="28"/>
      <c r="J6" s="29">
        <f>14-SUM(B7:B23)</f>
        <v>14</v>
      </c>
      <c r="K6" s="29"/>
      <c r="L6" s="25"/>
      <c r="M6" s="14"/>
      <c r="N6" s="14"/>
      <c r="O6" s="14"/>
      <c r="P6" s="14"/>
      <c r="Q6" s="218"/>
      <c r="R6" s="26"/>
      <c r="S6" s="253"/>
      <c r="T6" s="9"/>
      <c r="X6" s="126"/>
      <c r="Y6" s="126"/>
      <c r="Z6" s="124"/>
    </row>
    <row r="7" spans="1:26" ht="45" customHeight="1" x14ac:dyDescent="0.2">
      <c r="F7" s="270" t="s">
        <v>19</v>
      </c>
      <c r="G7" s="278" t="s">
        <v>69</v>
      </c>
      <c r="H7" s="30">
        <v>1</v>
      </c>
      <c r="I7" s="279" t="s">
        <v>22</v>
      </c>
      <c r="J7" s="31">
        <v>1</v>
      </c>
      <c r="K7" s="32"/>
      <c r="L7" s="33"/>
      <c r="M7" s="34" t="str">
        <f>IF(OR(Q7=$X$9,Q7=$X$10),K7,"")</f>
        <v/>
      </c>
      <c r="N7" s="35" t="str">
        <f t="shared" ref="N7:N23" si="0">IF(Q7=$X$11,K7,"")</f>
        <v/>
      </c>
      <c r="O7" s="35"/>
      <c r="P7" s="35"/>
      <c r="Q7" s="239"/>
      <c r="R7" s="160"/>
      <c r="S7" s="294"/>
      <c r="T7" s="9"/>
      <c r="X7" s="126"/>
      <c r="Y7" s="126"/>
      <c r="Z7" s="124"/>
    </row>
    <row r="8" spans="1:26" ht="45" customHeight="1" x14ac:dyDescent="0.2">
      <c r="F8" s="327" t="s">
        <v>20</v>
      </c>
      <c r="G8" s="367" t="s">
        <v>66</v>
      </c>
      <c r="H8" s="37">
        <v>2</v>
      </c>
      <c r="I8" s="41" t="s">
        <v>184</v>
      </c>
      <c r="J8" s="38" t="s">
        <v>98</v>
      </c>
      <c r="K8" s="39"/>
      <c r="L8" s="33"/>
      <c r="M8" s="34" t="str">
        <f t="shared" ref="M8:M23" si="1">IF(OR(Q8=$X$9,Q8=$X$10),K8,"")</f>
        <v/>
      </c>
      <c r="N8" s="35" t="str">
        <f t="shared" si="0"/>
        <v/>
      </c>
      <c r="O8" s="35"/>
      <c r="P8" s="35"/>
      <c r="Q8" s="239"/>
      <c r="R8" s="160"/>
      <c r="S8" s="294"/>
      <c r="T8" s="9"/>
      <c r="V8" s="137" t="s">
        <v>122</v>
      </c>
      <c r="W8" s="137"/>
      <c r="X8" s="126"/>
      <c r="Y8" s="126" t="s">
        <v>119</v>
      </c>
      <c r="Z8" s="124"/>
    </row>
    <row r="9" spans="1:26" ht="45" customHeight="1" x14ac:dyDescent="0.2">
      <c r="F9" s="328"/>
      <c r="G9" s="368"/>
      <c r="H9" s="40">
        <v>2.1</v>
      </c>
      <c r="I9" s="41" t="s">
        <v>23</v>
      </c>
      <c r="J9" s="42">
        <v>1</v>
      </c>
      <c r="K9" s="32"/>
      <c r="L9" s="33" t="str">
        <f>IF(AND(K9&gt;0,$K$8&lt;&gt;$Y$8),"!","")</f>
        <v/>
      </c>
      <c r="M9" s="34" t="str">
        <f t="shared" si="1"/>
        <v/>
      </c>
      <c r="N9" s="35" t="str">
        <f t="shared" si="0"/>
        <v/>
      </c>
      <c r="O9" s="35"/>
      <c r="P9" s="35"/>
      <c r="Q9" s="239"/>
      <c r="R9" s="160"/>
      <c r="S9" s="294"/>
      <c r="T9" s="9"/>
      <c r="V9" s="137" t="s">
        <v>198</v>
      </c>
      <c r="W9" s="137" t="s">
        <v>231</v>
      </c>
      <c r="X9" s="126" t="s">
        <v>233</v>
      </c>
      <c r="Y9" s="126" t="s">
        <v>120</v>
      </c>
      <c r="Z9" s="124"/>
    </row>
    <row r="10" spans="1:26" ht="45" customHeight="1" x14ac:dyDescent="0.2">
      <c r="F10" s="328"/>
      <c r="G10" s="368"/>
      <c r="H10" s="40">
        <v>2.2000000000000002</v>
      </c>
      <c r="I10" s="41" t="s">
        <v>24</v>
      </c>
      <c r="J10" s="42">
        <v>1</v>
      </c>
      <c r="K10" s="32"/>
      <c r="L10" s="33" t="str">
        <f t="shared" ref="L10:L17" si="2">IF(AND(K10&gt;0,$K$8&lt;&gt;$Y$8),"!","")</f>
        <v/>
      </c>
      <c r="M10" s="34" t="str">
        <f t="shared" si="1"/>
        <v/>
      </c>
      <c r="N10" s="35" t="str">
        <f t="shared" si="0"/>
        <v/>
      </c>
      <c r="O10" s="35"/>
      <c r="P10" s="35"/>
      <c r="Q10" s="239"/>
      <c r="R10" s="160"/>
      <c r="S10" s="294"/>
      <c r="T10" s="9"/>
      <c r="W10" s="137" t="s">
        <v>228</v>
      </c>
      <c r="X10" s="126" t="s">
        <v>232</v>
      </c>
      <c r="Y10" s="124"/>
      <c r="Z10" s="124"/>
    </row>
    <row r="11" spans="1:26" ht="45" customHeight="1" x14ac:dyDescent="0.2">
      <c r="F11" s="328"/>
      <c r="G11" s="368"/>
      <c r="H11" s="40">
        <v>2.2999999999999998</v>
      </c>
      <c r="I11" s="41" t="s">
        <v>25</v>
      </c>
      <c r="J11" s="42">
        <v>1</v>
      </c>
      <c r="K11" s="32"/>
      <c r="L11" s="33" t="str">
        <f t="shared" si="2"/>
        <v/>
      </c>
      <c r="M11" s="34" t="str">
        <f t="shared" si="1"/>
        <v/>
      </c>
      <c r="N11" s="35" t="str">
        <f t="shared" si="0"/>
        <v/>
      </c>
      <c r="O11" s="35"/>
      <c r="P11" s="35"/>
      <c r="Q11" s="239"/>
      <c r="R11" s="160"/>
      <c r="S11" s="294"/>
      <c r="T11" s="9"/>
      <c r="W11" s="137" t="s">
        <v>229</v>
      </c>
      <c r="X11" s="126" t="s">
        <v>269</v>
      </c>
      <c r="Y11" s="124"/>
      <c r="Z11" s="124"/>
    </row>
    <row r="12" spans="1:26" ht="45" customHeight="1" x14ac:dyDescent="0.2">
      <c r="F12" s="328"/>
      <c r="G12" s="368"/>
      <c r="H12" s="40">
        <v>2.4</v>
      </c>
      <c r="I12" s="41" t="s">
        <v>26</v>
      </c>
      <c r="J12" s="42">
        <v>1</v>
      </c>
      <c r="K12" s="32"/>
      <c r="L12" s="33" t="str">
        <f t="shared" si="2"/>
        <v/>
      </c>
      <c r="M12" s="34" t="str">
        <f t="shared" si="1"/>
        <v/>
      </c>
      <c r="N12" s="35" t="str">
        <f t="shared" si="0"/>
        <v/>
      </c>
      <c r="O12" s="35"/>
      <c r="P12" s="35"/>
      <c r="Q12" s="239"/>
      <c r="R12" s="160"/>
      <c r="S12" s="294"/>
      <c r="T12" s="9"/>
      <c r="W12" s="137" t="s">
        <v>230</v>
      </c>
      <c r="X12" s="126"/>
      <c r="Y12" s="124"/>
      <c r="Z12" s="124"/>
    </row>
    <row r="13" spans="1:26" ht="45" customHeight="1" x14ac:dyDescent="0.2">
      <c r="F13" s="270" t="s">
        <v>53</v>
      </c>
      <c r="G13" s="278" t="s">
        <v>59</v>
      </c>
      <c r="H13" s="30">
        <v>3.1</v>
      </c>
      <c r="I13" s="279" t="s">
        <v>30</v>
      </c>
      <c r="J13" s="31">
        <v>2</v>
      </c>
      <c r="K13" s="32"/>
      <c r="L13" s="33" t="str">
        <f t="shared" si="2"/>
        <v/>
      </c>
      <c r="M13" s="34" t="str">
        <f t="shared" si="1"/>
        <v/>
      </c>
      <c r="N13" s="35" t="str">
        <f t="shared" si="0"/>
        <v/>
      </c>
      <c r="O13" s="35"/>
      <c r="P13" s="35"/>
      <c r="Q13" s="239"/>
      <c r="R13" s="160"/>
      <c r="S13" s="294"/>
      <c r="T13" s="9"/>
      <c r="X13" s="124"/>
      <c r="Y13" s="124"/>
      <c r="Z13" s="124"/>
    </row>
    <row r="14" spans="1:26" ht="45" customHeight="1" x14ac:dyDescent="0.2">
      <c r="F14" s="328" t="s">
        <v>55</v>
      </c>
      <c r="G14" s="356" t="s">
        <v>57</v>
      </c>
      <c r="H14" s="30">
        <v>4.0999999999999996</v>
      </c>
      <c r="I14" s="279" t="s">
        <v>27</v>
      </c>
      <c r="J14" s="31">
        <v>1</v>
      </c>
      <c r="K14" s="32"/>
      <c r="L14" s="33" t="str">
        <f t="shared" si="2"/>
        <v/>
      </c>
      <c r="M14" s="34" t="str">
        <f t="shared" si="1"/>
        <v/>
      </c>
      <c r="N14" s="35" t="str">
        <f t="shared" si="0"/>
        <v/>
      </c>
      <c r="O14" s="35"/>
      <c r="P14" s="35"/>
      <c r="Q14" s="239"/>
      <c r="R14" s="160"/>
      <c r="S14" s="294"/>
      <c r="T14" s="9"/>
      <c r="X14" s="124"/>
      <c r="Y14" s="124"/>
      <c r="Z14" s="124"/>
    </row>
    <row r="15" spans="1:26" ht="45" customHeight="1" x14ac:dyDescent="0.2">
      <c r="F15" s="328"/>
      <c r="G15" s="356"/>
      <c r="H15" s="30">
        <v>4.2</v>
      </c>
      <c r="I15" s="279" t="s">
        <v>28</v>
      </c>
      <c r="J15" s="31">
        <v>1</v>
      </c>
      <c r="K15" s="32"/>
      <c r="L15" s="33" t="str">
        <f t="shared" si="2"/>
        <v/>
      </c>
      <c r="M15" s="34" t="str">
        <f t="shared" si="1"/>
        <v/>
      </c>
      <c r="N15" s="35" t="str">
        <f t="shared" si="0"/>
        <v/>
      </c>
      <c r="O15" s="35"/>
      <c r="P15" s="35"/>
      <c r="Q15" s="239"/>
      <c r="R15" s="160"/>
      <c r="S15" s="294"/>
      <c r="T15" s="9"/>
      <c r="X15" s="124"/>
      <c r="Y15" s="124"/>
      <c r="Z15" s="124"/>
    </row>
    <row r="16" spans="1:26" ht="45" customHeight="1" x14ac:dyDescent="0.2">
      <c r="F16" s="328" t="s">
        <v>58</v>
      </c>
      <c r="G16" s="356" t="s">
        <v>67</v>
      </c>
      <c r="H16" s="30">
        <v>5.0999999999999996</v>
      </c>
      <c r="I16" s="279" t="s">
        <v>185</v>
      </c>
      <c r="J16" s="31">
        <v>1</v>
      </c>
      <c r="K16" s="32"/>
      <c r="L16" s="33" t="str">
        <f t="shared" si="2"/>
        <v/>
      </c>
      <c r="M16" s="34" t="str">
        <f t="shared" si="1"/>
        <v/>
      </c>
      <c r="N16" s="35" t="str">
        <f t="shared" si="0"/>
        <v/>
      </c>
      <c r="O16" s="35"/>
      <c r="P16" s="35"/>
      <c r="Q16" s="239"/>
      <c r="R16" s="160"/>
      <c r="S16" s="294"/>
      <c r="T16" s="9"/>
      <c r="X16" s="124"/>
      <c r="Y16" s="124"/>
      <c r="Z16" s="124"/>
    </row>
    <row r="17" spans="1:26" ht="45" customHeight="1" x14ac:dyDescent="0.2">
      <c r="F17" s="328"/>
      <c r="G17" s="356"/>
      <c r="H17" s="30">
        <v>5.2</v>
      </c>
      <c r="I17" s="279" t="s">
        <v>186</v>
      </c>
      <c r="J17" s="31">
        <v>1</v>
      </c>
      <c r="K17" s="32"/>
      <c r="L17" s="33" t="str">
        <f t="shared" si="2"/>
        <v/>
      </c>
      <c r="M17" s="34" t="str">
        <f t="shared" si="1"/>
        <v/>
      </c>
      <c r="N17" s="35" t="str">
        <f t="shared" si="0"/>
        <v/>
      </c>
      <c r="O17" s="35"/>
      <c r="P17" s="35"/>
      <c r="Q17" s="239"/>
      <c r="R17" s="160"/>
      <c r="S17" s="294"/>
      <c r="T17" s="9"/>
      <c r="X17" s="124"/>
      <c r="Y17" s="124"/>
      <c r="Z17" s="124"/>
    </row>
    <row r="18" spans="1:26" ht="45" customHeight="1" x14ac:dyDescent="0.2">
      <c r="F18" s="328" t="s">
        <v>56</v>
      </c>
      <c r="G18" s="356" t="s">
        <v>68</v>
      </c>
      <c r="H18" s="30">
        <v>6</v>
      </c>
      <c r="I18" s="279" t="s">
        <v>299</v>
      </c>
      <c r="J18" s="31" t="s">
        <v>98</v>
      </c>
      <c r="K18" s="39"/>
      <c r="L18" s="33"/>
      <c r="M18" s="34" t="str">
        <f t="shared" si="1"/>
        <v/>
      </c>
      <c r="N18" s="35" t="str">
        <f t="shared" si="0"/>
        <v/>
      </c>
      <c r="O18" s="35"/>
      <c r="P18" s="35"/>
      <c r="Q18" s="239"/>
      <c r="R18" s="160"/>
      <c r="S18" s="294"/>
      <c r="T18" s="9"/>
      <c r="X18" s="124"/>
      <c r="Y18" s="124"/>
      <c r="Z18" s="124"/>
    </row>
    <row r="19" spans="1:26" ht="45" customHeight="1" x14ac:dyDescent="0.2">
      <c r="F19" s="328"/>
      <c r="G19" s="356"/>
      <c r="H19" s="30">
        <v>6.1</v>
      </c>
      <c r="I19" s="279" t="s">
        <v>300</v>
      </c>
      <c r="J19" s="31">
        <v>1</v>
      </c>
      <c r="K19" s="32"/>
      <c r="L19" s="33" t="str">
        <f>IF(AND(K19&gt;0,$K$18&lt;&gt;$Y$8),"!","")</f>
        <v/>
      </c>
      <c r="M19" s="34" t="str">
        <f t="shared" si="1"/>
        <v/>
      </c>
      <c r="N19" s="35" t="str">
        <f t="shared" si="0"/>
        <v/>
      </c>
      <c r="O19" s="35"/>
      <c r="P19" s="35"/>
      <c r="Q19" s="239"/>
      <c r="R19" s="160"/>
      <c r="S19" s="294"/>
      <c r="T19" s="9"/>
      <c r="X19" s="124"/>
      <c r="Y19" s="124"/>
      <c r="Z19" s="124"/>
    </row>
    <row r="20" spans="1:26" ht="45" customHeight="1" x14ac:dyDescent="0.2">
      <c r="F20" s="328" t="s">
        <v>54</v>
      </c>
      <c r="G20" s="356" t="s">
        <v>157</v>
      </c>
      <c r="H20" s="30">
        <v>7</v>
      </c>
      <c r="I20" s="279" t="s">
        <v>29</v>
      </c>
      <c r="J20" s="43" t="s">
        <v>98</v>
      </c>
      <c r="K20" s="44"/>
      <c r="L20" s="33"/>
      <c r="M20" s="34" t="str">
        <f t="shared" si="1"/>
        <v/>
      </c>
      <c r="N20" s="35" t="str">
        <f t="shared" si="0"/>
        <v/>
      </c>
      <c r="O20" s="35"/>
      <c r="P20" s="35"/>
      <c r="Q20" s="239"/>
      <c r="R20" s="160"/>
      <c r="S20" s="294"/>
      <c r="T20" s="9"/>
      <c r="X20" s="124"/>
      <c r="Y20" s="124"/>
      <c r="Z20" s="124"/>
    </row>
    <row r="21" spans="1:26" ht="45" customHeight="1" x14ac:dyDescent="0.2">
      <c r="F21" s="328"/>
      <c r="G21" s="356"/>
      <c r="H21" s="30">
        <v>7.1</v>
      </c>
      <c r="I21" s="279" t="s">
        <v>158</v>
      </c>
      <c r="J21" s="43">
        <v>1</v>
      </c>
      <c r="K21" s="45"/>
      <c r="L21" s="33" t="str">
        <f>IF(AND(K21&gt;0,$K$20&lt;&gt;$Y$8),"!","")</f>
        <v/>
      </c>
      <c r="M21" s="34" t="str">
        <f t="shared" si="1"/>
        <v/>
      </c>
      <c r="N21" s="35" t="str">
        <f t="shared" si="0"/>
        <v/>
      </c>
      <c r="O21" s="35"/>
      <c r="P21" s="35"/>
      <c r="Q21" s="239"/>
      <c r="R21" s="160"/>
      <c r="S21" s="294"/>
      <c r="T21" s="9"/>
      <c r="X21" s="124"/>
      <c r="Y21" s="124"/>
      <c r="Z21" s="124"/>
    </row>
    <row r="22" spans="1:26" ht="45" customHeight="1" x14ac:dyDescent="0.2">
      <c r="F22" s="335" t="s">
        <v>60</v>
      </c>
      <c r="G22" s="341" t="s">
        <v>122</v>
      </c>
      <c r="H22" s="30" t="s">
        <v>276</v>
      </c>
      <c r="I22" s="279" t="s">
        <v>278</v>
      </c>
      <c r="J22" s="43">
        <f>IF(G22=V8,1,"-")</f>
        <v>1</v>
      </c>
      <c r="K22" s="45"/>
      <c r="L22" s="33" t="str">
        <f>IF(AND(K22&gt;0,G22="Prescriptive Pathway"),"!","")</f>
        <v/>
      </c>
      <c r="M22" s="34" t="str">
        <f t="shared" si="1"/>
        <v/>
      </c>
      <c r="N22" s="35" t="str">
        <f t="shared" si="0"/>
        <v/>
      </c>
      <c r="O22" s="35"/>
      <c r="P22" s="35"/>
      <c r="Q22" s="239"/>
      <c r="R22" s="160"/>
      <c r="S22" s="294"/>
      <c r="T22" s="9"/>
      <c r="X22" s="124"/>
      <c r="Y22" s="124"/>
      <c r="Z22" s="124"/>
    </row>
    <row r="23" spans="1:26" ht="45" customHeight="1" x14ac:dyDescent="0.2">
      <c r="F23" s="327"/>
      <c r="G23" s="342"/>
      <c r="H23" s="30" t="s">
        <v>277</v>
      </c>
      <c r="I23" s="279" t="s">
        <v>279</v>
      </c>
      <c r="J23" s="43" t="str">
        <f>IF(G22=V9,1,"-")</f>
        <v>-</v>
      </c>
      <c r="K23" s="45"/>
      <c r="L23" s="33" t="str">
        <f>IF(AND(K23&gt;0,G22="Performance Pathway"),"!","")</f>
        <v/>
      </c>
      <c r="M23" s="34" t="str">
        <f t="shared" si="1"/>
        <v/>
      </c>
      <c r="N23" s="35" t="str">
        <f t="shared" si="0"/>
        <v/>
      </c>
      <c r="O23" s="35"/>
      <c r="P23" s="35"/>
      <c r="Q23" s="239"/>
      <c r="R23" s="160"/>
      <c r="S23" s="294"/>
      <c r="T23" s="9"/>
    </row>
    <row r="24" spans="1:26" ht="37.5" customHeight="1" x14ac:dyDescent="0.2">
      <c r="F24" s="47" t="s">
        <v>70</v>
      </c>
      <c r="G24" s="47"/>
      <c r="H24" s="48"/>
      <c r="I24" s="47"/>
      <c r="J24" s="48">
        <f>SUM(J7:J23)</f>
        <v>14</v>
      </c>
      <c r="K24" s="48">
        <f>SUM(K7:K23)</f>
        <v>0</v>
      </c>
      <c r="L24" s="33" t="str">
        <f>IF(K24&gt;J24,"!","")</f>
        <v/>
      </c>
      <c r="M24" s="49">
        <f>SUM(M7:M23)</f>
        <v>0</v>
      </c>
      <c r="N24" s="49">
        <f>SUM(N7:N23)</f>
        <v>0</v>
      </c>
      <c r="O24" s="50"/>
      <c r="P24" s="50"/>
      <c r="Q24" s="222"/>
      <c r="R24" s="51"/>
      <c r="S24" s="295"/>
      <c r="T24" s="9"/>
    </row>
    <row r="25" spans="1:26" ht="45" customHeight="1" x14ac:dyDescent="0.2">
      <c r="F25" s="52"/>
      <c r="G25" s="53"/>
      <c r="H25" s="54"/>
      <c r="I25" s="55"/>
      <c r="J25" s="56"/>
      <c r="K25" s="57"/>
      <c r="L25" s="79"/>
      <c r="M25" s="57"/>
      <c r="N25" s="51"/>
      <c r="O25" s="51"/>
      <c r="P25" s="51"/>
      <c r="Q25" s="240"/>
      <c r="R25" s="36"/>
      <c r="S25" s="296"/>
      <c r="T25" s="9"/>
    </row>
    <row r="26" spans="1:26" ht="45" customHeight="1" x14ac:dyDescent="0.2">
      <c r="F26" s="359" t="s">
        <v>1</v>
      </c>
      <c r="G26" s="359"/>
      <c r="H26" s="359"/>
      <c r="I26" s="359"/>
      <c r="J26" s="204">
        <f>17-SUM(B27:B43)</f>
        <v>17</v>
      </c>
      <c r="K26" s="58"/>
      <c r="L26" s="33"/>
      <c r="M26" s="204"/>
      <c r="N26" s="204"/>
      <c r="O26" s="204"/>
      <c r="P26" s="204"/>
      <c r="Q26" s="223"/>
      <c r="R26" s="59"/>
      <c r="S26" s="297"/>
      <c r="T26" s="60"/>
    </row>
    <row r="27" spans="1:26" ht="45" customHeight="1" x14ac:dyDescent="0.2">
      <c r="A27" s="189">
        <v>1</v>
      </c>
      <c r="B27" s="189">
        <f>IF(C27=TRUE,A27,0)</f>
        <v>0</v>
      </c>
      <c r="C27" s="189" t="b">
        <v>0</v>
      </c>
      <c r="E27" s="191"/>
      <c r="F27" s="343" t="s">
        <v>301</v>
      </c>
      <c r="G27" s="360" t="s">
        <v>99</v>
      </c>
      <c r="H27" s="61">
        <v>9.1</v>
      </c>
      <c r="I27" s="62" t="s">
        <v>31</v>
      </c>
      <c r="J27" s="63">
        <f>IF(C27=FALSE,A27,0)</f>
        <v>1</v>
      </c>
      <c r="K27" s="64"/>
      <c r="L27" s="33"/>
      <c r="M27" s="34" t="str">
        <f>IF(OR(Q27=$X$9,Q27=$X$10),K27,"")</f>
        <v/>
      </c>
      <c r="N27" s="35" t="str">
        <f t="shared" ref="N27:N43" si="3">IF(Q27=$X$11,K27,"")</f>
        <v/>
      </c>
      <c r="O27" s="35"/>
      <c r="P27" s="35"/>
      <c r="Q27" s="239"/>
      <c r="R27" s="161"/>
      <c r="S27" s="294"/>
      <c r="T27" s="9"/>
    </row>
    <row r="28" spans="1:26" ht="45" customHeight="1" x14ac:dyDescent="0.2">
      <c r="A28" s="189">
        <v>2</v>
      </c>
      <c r="B28" s="189">
        <f t="shared" ref="B28:B43" si="4">IF(C28=TRUE,A28,0)</f>
        <v>0</v>
      </c>
      <c r="C28" s="189" t="b">
        <v>0</v>
      </c>
      <c r="F28" s="343"/>
      <c r="G28" s="360"/>
      <c r="H28" s="61">
        <v>9.1999999999999993</v>
      </c>
      <c r="I28" s="62" t="s">
        <v>187</v>
      </c>
      <c r="J28" s="63">
        <f t="shared" ref="J28:J43" si="5">IF(C28=FALSE,A28,0)</f>
        <v>2</v>
      </c>
      <c r="K28" s="64"/>
      <c r="L28" s="33"/>
      <c r="M28" s="34" t="str">
        <f t="shared" ref="M28:M43" si="6">IF(OR(Q28=$X$9,Q28=$X$10),K28,"")</f>
        <v/>
      </c>
      <c r="N28" s="35" t="str">
        <f t="shared" si="3"/>
        <v/>
      </c>
      <c r="O28" s="35"/>
      <c r="P28" s="35"/>
      <c r="Q28" s="238"/>
      <c r="R28" s="161"/>
      <c r="S28" s="294"/>
      <c r="T28" s="9"/>
    </row>
    <row r="29" spans="1:26" ht="45" customHeight="1" x14ac:dyDescent="0.2">
      <c r="A29" s="189">
        <v>1</v>
      </c>
      <c r="B29" s="189">
        <f t="shared" si="4"/>
        <v>0</v>
      </c>
      <c r="C29" s="189" t="b">
        <v>0</v>
      </c>
      <c r="F29" s="343"/>
      <c r="G29" s="360"/>
      <c r="H29" s="61">
        <v>9.3000000000000007</v>
      </c>
      <c r="I29" s="62" t="s">
        <v>163</v>
      </c>
      <c r="J29" s="63">
        <f t="shared" si="5"/>
        <v>1</v>
      </c>
      <c r="K29" s="64"/>
      <c r="L29" s="33"/>
      <c r="M29" s="34" t="str">
        <f t="shared" si="6"/>
        <v/>
      </c>
      <c r="N29" s="35" t="str">
        <f t="shared" si="3"/>
        <v/>
      </c>
      <c r="O29" s="35"/>
      <c r="P29" s="35"/>
      <c r="Q29" s="238"/>
      <c r="R29" s="161"/>
      <c r="S29" s="294"/>
      <c r="T29" s="9"/>
    </row>
    <row r="30" spans="1:26" ht="45" customHeight="1" x14ac:dyDescent="0.2">
      <c r="A30" s="189">
        <v>1</v>
      </c>
      <c r="B30" s="189">
        <f t="shared" si="4"/>
        <v>0</v>
      </c>
      <c r="C30" s="189" t="b">
        <v>0</v>
      </c>
      <c r="F30" s="343" t="s">
        <v>8</v>
      </c>
      <c r="G30" s="356" t="s">
        <v>100</v>
      </c>
      <c r="H30" s="61">
        <v>10.1</v>
      </c>
      <c r="I30" s="62" t="s">
        <v>50</v>
      </c>
      <c r="J30" s="63">
        <f t="shared" si="5"/>
        <v>1</v>
      </c>
      <c r="K30" s="64"/>
      <c r="L30" s="33"/>
      <c r="M30" s="34" t="str">
        <f t="shared" si="6"/>
        <v/>
      </c>
      <c r="N30" s="35" t="str">
        <f t="shared" si="3"/>
        <v/>
      </c>
      <c r="O30" s="35"/>
      <c r="P30" s="35"/>
      <c r="Q30" s="238"/>
      <c r="R30" s="161"/>
      <c r="S30" s="294"/>
      <c r="T30" s="9"/>
    </row>
    <row r="31" spans="1:26" ht="45" customHeight="1" x14ac:dyDescent="0.2">
      <c r="A31" s="189">
        <v>1</v>
      </c>
      <c r="B31" s="189">
        <f t="shared" si="4"/>
        <v>0</v>
      </c>
      <c r="C31" s="189" t="b">
        <v>0</v>
      </c>
      <c r="F31" s="343"/>
      <c r="G31" s="356"/>
      <c r="H31" s="61">
        <v>10.199999999999999</v>
      </c>
      <c r="I31" s="62" t="s">
        <v>52</v>
      </c>
      <c r="J31" s="63">
        <f t="shared" si="5"/>
        <v>1</v>
      </c>
      <c r="K31" s="64"/>
      <c r="L31" s="33"/>
      <c r="M31" s="34" t="str">
        <f t="shared" si="6"/>
        <v/>
      </c>
      <c r="N31" s="35" t="str">
        <f t="shared" si="3"/>
        <v/>
      </c>
      <c r="O31" s="35"/>
      <c r="P31" s="35"/>
      <c r="Q31" s="238"/>
      <c r="R31" s="161"/>
      <c r="S31" s="294"/>
      <c r="T31" s="9"/>
    </row>
    <row r="32" spans="1:26" ht="45" customHeight="1" x14ac:dyDescent="0.2">
      <c r="A32" s="189">
        <v>1</v>
      </c>
      <c r="B32" s="189">
        <f t="shared" si="4"/>
        <v>0</v>
      </c>
      <c r="C32" s="189" t="b">
        <v>0</v>
      </c>
      <c r="F32" s="343"/>
      <c r="G32" s="356"/>
      <c r="H32" s="61">
        <v>10.3</v>
      </c>
      <c r="I32" s="62" t="s">
        <v>308</v>
      </c>
      <c r="J32" s="63">
        <f t="shared" si="5"/>
        <v>1</v>
      </c>
      <c r="K32" s="64"/>
      <c r="L32" s="33"/>
      <c r="M32" s="34" t="str">
        <f t="shared" si="6"/>
        <v/>
      </c>
      <c r="N32" s="35" t="str">
        <f t="shared" si="3"/>
        <v/>
      </c>
      <c r="O32" s="35"/>
      <c r="P32" s="35"/>
      <c r="Q32" s="238"/>
      <c r="R32" s="161"/>
      <c r="S32" s="294"/>
      <c r="T32" s="9"/>
    </row>
    <row r="33" spans="1:22" ht="45" customHeight="1" x14ac:dyDescent="0.2">
      <c r="F33" s="343" t="s">
        <v>7</v>
      </c>
      <c r="G33" s="356" t="s">
        <v>101</v>
      </c>
      <c r="H33" s="30">
        <v>11</v>
      </c>
      <c r="I33" s="66" t="s">
        <v>43</v>
      </c>
      <c r="J33" s="63" t="s">
        <v>98</v>
      </c>
      <c r="K33" s="64"/>
      <c r="L33" s="33"/>
      <c r="M33" s="34" t="str">
        <f t="shared" si="6"/>
        <v/>
      </c>
      <c r="N33" s="35" t="str">
        <f t="shared" si="3"/>
        <v/>
      </c>
      <c r="O33" s="35"/>
      <c r="P33" s="35"/>
      <c r="Q33" s="238"/>
      <c r="R33" s="161"/>
      <c r="S33" s="294"/>
      <c r="T33" s="9"/>
    </row>
    <row r="34" spans="1:22" ht="45" customHeight="1" x14ac:dyDescent="0.2">
      <c r="A34" s="189">
        <v>1</v>
      </c>
      <c r="B34" s="189">
        <f t="shared" si="4"/>
        <v>0</v>
      </c>
      <c r="C34" s="189" t="b">
        <v>0</v>
      </c>
      <c r="F34" s="343"/>
      <c r="G34" s="356"/>
      <c r="H34" s="61">
        <v>11.1</v>
      </c>
      <c r="I34" s="62" t="s">
        <v>32</v>
      </c>
      <c r="J34" s="63">
        <f t="shared" si="5"/>
        <v>1</v>
      </c>
      <c r="K34" s="64"/>
      <c r="L34" s="33" t="str">
        <f>IF(AND(K34&gt;0,$K$33&lt;&gt;$Y$8),"!","")</f>
        <v/>
      </c>
      <c r="M34" s="34" t="str">
        <f t="shared" si="6"/>
        <v/>
      </c>
      <c r="N34" s="35" t="str">
        <f t="shared" si="3"/>
        <v/>
      </c>
      <c r="O34" s="35"/>
      <c r="P34" s="35"/>
      <c r="Q34" s="238"/>
      <c r="R34" s="161"/>
      <c r="S34" s="294"/>
      <c r="T34" s="9"/>
    </row>
    <row r="35" spans="1:22" ht="45" customHeight="1" x14ac:dyDescent="0.2">
      <c r="A35" s="189">
        <v>1</v>
      </c>
      <c r="B35" s="189">
        <f t="shared" si="4"/>
        <v>0</v>
      </c>
      <c r="C35" s="189" t="b">
        <v>0</v>
      </c>
      <c r="F35" s="343"/>
      <c r="G35" s="356"/>
      <c r="H35" s="61">
        <v>11.2</v>
      </c>
      <c r="I35" s="62" t="s">
        <v>62</v>
      </c>
      <c r="J35" s="63">
        <f t="shared" si="5"/>
        <v>1</v>
      </c>
      <c r="K35" s="64"/>
      <c r="L35" s="33" t="str">
        <f>IF(AND(K35&gt;0,$K$33&lt;&gt;$Y$8),"!","")</f>
        <v/>
      </c>
      <c r="M35" s="34" t="str">
        <f t="shared" si="6"/>
        <v/>
      </c>
      <c r="N35" s="35" t="str">
        <f t="shared" si="3"/>
        <v/>
      </c>
      <c r="O35" s="35"/>
      <c r="P35" s="35"/>
      <c r="Q35" s="238"/>
      <c r="R35" s="161"/>
      <c r="S35" s="294"/>
      <c r="T35" s="9"/>
    </row>
    <row r="36" spans="1:22" ht="45" customHeight="1" x14ac:dyDescent="0.2">
      <c r="A36" s="189">
        <v>1</v>
      </c>
      <c r="B36" s="189">
        <f t="shared" si="4"/>
        <v>0</v>
      </c>
      <c r="C36" s="189" t="b">
        <v>0</v>
      </c>
      <c r="F36" s="343"/>
      <c r="G36" s="356"/>
      <c r="H36" s="61">
        <v>11.3</v>
      </c>
      <c r="I36" s="62" t="s">
        <v>188</v>
      </c>
      <c r="J36" s="63">
        <f t="shared" si="5"/>
        <v>1</v>
      </c>
      <c r="K36" s="64"/>
      <c r="L36" s="33" t="str">
        <f>IF(AND(K36&gt;0,$K$33&lt;&gt;$Y$8),"!","")</f>
        <v/>
      </c>
      <c r="M36" s="34" t="str">
        <f t="shared" si="6"/>
        <v/>
      </c>
      <c r="N36" s="35" t="str">
        <f t="shared" si="3"/>
        <v/>
      </c>
      <c r="O36" s="35"/>
      <c r="P36" s="35"/>
      <c r="Q36" s="238"/>
      <c r="R36" s="161"/>
      <c r="S36" s="294"/>
      <c r="T36" s="9"/>
    </row>
    <row r="37" spans="1:22" ht="45" customHeight="1" x14ac:dyDescent="0.2">
      <c r="F37" s="343" t="s">
        <v>21</v>
      </c>
      <c r="G37" s="356" t="s">
        <v>102</v>
      </c>
      <c r="H37" s="61">
        <v>12</v>
      </c>
      <c r="I37" s="62" t="s">
        <v>33</v>
      </c>
      <c r="J37" s="63" t="s">
        <v>98</v>
      </c>
      <c r="K37" s="64"/>
      <c r="L37" s="33"/>
      <c r="M37" s="34" t="str">
        <f t="shared" si="6"/>
        <v/>
      </c>
      <c r="N37" s="35" t="str">
        <f t="shared" si="3"/>
        <v/>
      </c>
      <c r="O37" s="35"/>
      <c r="P37" s="35"/>
      <c r="Q37" s="238"/>
      <c r="R37" s="161"/>
      <c r="S37" s="294"/>
      <c r="T37" s="9"/>
    </row>
    <row r="38" spans="1:22" ht="45" customHeight="1" x14ac:dyDescent="0.2">
      <c r="A38" s="189">
        <v>2</v>
      </c>
      <c r="B38" s="189">
        <f t="shared" si="4"/>
        <v>0</v>
      </c>
      <c r="C38" s="189" t="b">
        <v>0</v>
      </c>
      <c r="F38" s="343"/>
      <c r="G38" s="356"/>
      <c r="H38" s="61">
        <v>12.1</v>
      </c>
      <c r="I38" s="62" t="s">
        <v>34</v>
      </c>
      <c r="J38" s="63">
        <f t="shared" si="5"/>
        <v>2</v>
      </c>
      <c r="K38" s="64"/>
      <c r="L38" s="33" t="str">
        <f>IF(AND(K38&gt;0,$K$37&lt;&gt;$Y$8),"!","")</f>
        <v/>
      </c>
      <c r="M38" s="34" t="str">
        <f t="shared" si="6"/>
        <v/>
      </c>
      <c r="N38" s="35" t="str">
        <f t="shared" si="3"/>
        <v/>
      </c>
      <c r="O38" s="35"/>
      <c r="P38" s="35"/>
      <c r="Q38" s="238"/>
      <c r="R38" s="161"/>
      <c r="S38" s="294"/>
      <c r="T38" s="9"/>
    </row>
    <row r="39" spans="1:22" ht="45" customHeight="1" x14ac:dyDescent="0.2">
      <c r="A39" s="189">
        <v>1</v>
      </c>
      <c r="B39" s="189">
        <f t="shared" si="4"/>
        <v>0</v>
      </c>
      <c r="C39" s="189" t="b">
        <v>0</v>
      </c>
      <c r="F39" s="343"/>
      <c r="G39" s="356"/>
      <c r="H39" s="61">
        <v>12.2</v>
      </c>
      <c r="I39" s="62" t="s">
        <v>35</v>
      </c>
      <c r="J39" s="63">
        <f t="shared" si="5"/>
        <v>1</v>
      </c>
      <c r="K39" s="64"/>
      <c r="L39" s="33" t="str">
        <f>IF(AND(K39&gt;0,$K$37&lt;&gt;$Y$8),"!","")</f>
        <v/>
      </c>
      <c r="M39" s="34" t="str">
        <f t="shared" si="6"/>
        <v/>
      </c>
      <c r="N39" s="35" t="str">
        <f t="shared" si="3"/>
        <v/>
      </c>
      <c r="O39" s="35"/>
      <c r="P39" s="35"/>
      <c r="Q39" s="238"/>
      <c r="R39" s="161"/>
      <c r="S39" s="294"/>
      <c r="T39" s="9"/>
    </row>
    <row r="40" spans="1:22" ht="45" customHeight="1" x14ac:dyDescent="0.2">
      <c r="A40" s="189">
        <v>1</v>
      </c>
      <c r="B40" s="189">
        <f t="shared" si="4"/>
        <v>0</v>
      </c>
      <c r="C40" s="189" t="b">
        <v>0</v>
      </c>
      <c r="F40" s="343" t="s">
        <v>219</v>
      </c>
      <c r="G40" s="356" t="s">
        <v>103</v>
      </c>
      <c r="H40" s="61">
        <v>13.1</v>
      </c>
      <c r="I40" s="62" t="s">
        <v>180</v>
      </c>
      <c r="J40" s="63">
        <f t="shared" si="5"/>
        <v>1</v>
      </c>
      <c r="K40" s="64"/>
      <c r="L40" s="33"/>
      <c r="M40" s="34" t="str">
        <f t="shared" si="6"/>
        <v/>
      </c>
      <c r="N40" s="35" t="str">
        <f t="shared" si="3"/>
        <v/>
      </c>
      <c r="O40" s="35"/>
      <c r="P40" s="35"/>
      <c r="Q40" s="238"/>
      <c r="R40" s="161"/>
      <c r="S40" s="294"/>
      <c r="T40" s="9"/>
    </row>
    <row r="41" spans="1:22" ht="45" customHeight="1" x14ac:dyDescent="0.2">
      <c r="A41" s="189">
        <v>1</v>
      </c>
      <c r="B41" s="189">
        <f t="shared" si="4"/>
        <v>0</v>
      </c>
      <c r="C41" s="189" t="b">
        <v>0</v>
      </c>
      <c r="F41" s="343"/>
      <c r="G41" s="356"/>
      <c r="H41" s="61">
        <v>13.2</v>
      </c>
      <c r="I41" s="62" t="s">
        <v>181</v>
      </c>
      <c r="J41" s="63">
        <f t="shared" si="5"/>
        <v>1</v>
      </c>
      <c r="K41" s="64"/>
      <c r="L41" s="33"/>
      <c r="M41" s="34" t="str">
        <f t="shared" si="6"/>
        <v/>
      </c>
      <c r="N41" s="35" t="str">
        <f t="shared" si="3"/>
        <v/>
      </c>
      <c r="O41" s="35"/>
      <c r="P41" s="35"/>
      <c r="Q41" s="238"/>
      <c r="R41" s="161"/>
      <c r="S41" s="294"/>
      <c r="T41" s="9"/>
    </row>
    <row r="42" spans="1:22" ht="45" customHeight="1" x14ac:dyDescent="0.2">
      <c r="A42" s="189">
        <v>1</v>
      </c>
      <c r="B42" s="189">
        <f t="shared" si="4"/>
        <v>0</v>
      </c>
      <c r="C42" s="189" t="b">
        <v>0</v>
      </c>
      <c r="F42" s="343" t="s">
        <v>9</v>
      </c>
      <c r="G42" s="356" t="s">
        <v>104</v>
      </c>
      <c r="H42" s="61">
        <v>14.1</v>
      </c>
      <c r="I42" s="62" t="s">
        <v>9</v>
      </c>
      <c r="J42" s="63">
        <f t="shared" si="5"/>
        <v>1</v>
      </c>
      <c r="K42" s="64"/>
      <c r="L42" s="33"/>
      <c r="M42" s="34" t="str">
        <f t="shared" si="6"/>
        <v/>
      </c>
      <c r="N42" s="35" t="str">
        <f t="shared" si="3"/>
        <v/>
      </c>
      <c r="O42" s="35"/>
      <c r="P42" s="35"/>
      <c r="Q42" s="238"/>
      <c r="R42" s="161"/>
      <c r="S42" s="294"/>
      <c r="T42" s="9"/>
    </row>
    <row r="43" spans="1:22" ht="45" customHeight="1" x14ac:dyDescent="0.2">
      <c r="A43" s="189">
        <v>1</v>
      </c>
      <c r="B43" s="189">
        <f t="shared" si="4"/>
        <v>0</v>
      </c>
      <c r="C43" s="189" t="b">
        <v>0</v>
      </c>
      <c r="F43" s="344"/>
      <c r="G43" s="331"/>
      <c r="H43" s="61">
        <v>14.2</v>
      </c>
      <c r="I43" s="62" t="s">
        <v>51</v>
      </c>
      <c r="J43" s="63">
        <f t="shared" si="5"/>
        <v>1</v>
      </c>
      <c r="K43" s="64"/>
      <c r="L43" s="33"/>
      <c r="M43" s="34" t="str">
        <f t="shared" si="6"/>
        <v/>
      </c>
      <c r="N43" s="35" t="str">
        <f t="shared" si="3"/>
        <v/>
      </c>
      <c r="O43" s="35"/>
      <c r="P43" s="35"/>
      <c r="Q43" s="238"/>
      <c r="R43" s="161"/>
      <c r="S43" s="294"/>
      <c r="T43" s="9"/>
    </row>
    <row r="44" spans="1:22" ht="45" customHeight="1" x14ac:dyDescent="0.2">
      <c r="F44" s="47" t="s">
        <v>70</v>
      </c>
      <c r="G44" s="47"/>
      <c r="H44" s="48"/>
      <c r="I44" s="47"/>
      <c r="J44" s="48">
        <f>SUM(J27:J43)</f>
        <v>17</v>
      </c>
      <c r="K44" s="48">
        <f>SUM(K27:K43)</f>
        <v>0</v>
      </c>
      <c r="L44" s="33" t="str">
        <f>IF(K44&gt;J44,"!","")</f>
        <v/>
      </c>
      <c r="M44" s="49">
        <f t="shared" ref="M44:N44" si="7">SUM(M27:M43)</f>
        <v>0</v>
      </c>
      <c r="N44" s="49">
        <f t="shared" si="7"/>
        <v>0</v>
      </c>
      <c r="O44" s="51"/>
      <c r="P44" s="51"/>
      <c r="Q44" s="240"/>
      <c r="R44" s="65"/>
      <c r="S44" s="298"/>
      <c r="T44" s="9"/>
    </row>
    <row r="45" spans="1:22" ht="45" customHeight="1" x14ac:dyDescent="0.2">
      <c r="F45" s="70"/>
      <c r="G45" s="70"/>
      <c r="H45" s="6"/>
      <c r="I45" s="70"/>
      <c r="J45" s="6"/>
      <c r="K45" s="6"/>
      <c r="L45" s="71"/>
      <c r="M45" s="6"/>
      <c r="N45" s="6"/>
      <c r="O45" s="6"/>
      <c r="P45" s="6"/>
      <c r="Q45" s="241"/>
      <c r="R45" s="65"/>
      <c r="S45" s="298"/>
      <c r="T45" s="9"/>
    </row>
    <row r="46" spans="1:22" ht="45" customHeight="1" x14ac:dyDescent="0.2">
      <c r="F46" s="333" t="s">
        <v>2</v>
      </c>
      <c r="G46" s="333"/>
      <c r="H46" s="333"/>
      <c r="I46" s="333"/>
      <c r="J46" s="58">
        <f>22-SUM(B47:B64)</f>
        <v>22</v>
      </c>
      <c r="K46" s="58"/>
      <c r="L46" s="72"/>
      <c r="M46" s="194"/>
      <c r="N46" s="194"/>
      <c r="O46" s="194"/>
      <c r="P46" s="194"/>
      <c r="Q46" s="223"/>
      <c r="R46" s="213"/>
      <c r="S46" s="299"/>
      <c r="T46" s="73"/>
    </row>
    <row r="47" spans="1:22" ht="45" customHeight="1" x14ac:dyDescent="0.2">
      <c r="F47" s="347" t="s">
        <v>94</v>
      </c>
      <c r="G47" s="357" t="s">
        <v>282</v>
      </c>
      <c r="H47" s="196" t="s">
        <v>234</v>
      </c>
      <c r="I47" s="131" t="s">
        <v>97</v>
      </c>
      <c r="J47" s="130" t="s">
        <v>98</v>
      </c>
      <c r="K47" s="99"/>
      <c r="L47" s="355" t="str">
        <f>IF(SUM(K48:K54)&gt;5,"Error: the total number of available points for the 'Prescriptive Pathway' is 5. Please enter a points score less than or equal to 5.","")</f>
        <v/>
      </c>
      <c r="M47" s="34" t="str">
        <f>IF(OR(Q47=$X$9,Q47=$X$10),K47,"")</f>
        <v/>
      </c>
      <c r="N47" s="35" t="str">
        <f t="shared" ref="N47:N64" si="8">IF(Q47=$X$11,K47,"")</f>
        <v/>
      </c>
      <c r="O47" s="35"/>
      <c r="P47" s="35"/>
      <c r="Q47" s="239"/>
      <c r="R47" s="161"/>
      <c r="S47" s="294"/>
      <c r="T47" s="9"/>
      <c r="V47" s="11" t="s">
        <v>189</v>
      </c>
    </row>
    <row r="48" spans="1:22" ht="45" customHeight="1" x14ac:dyDescent="0.2">
      <c r="F48" s="348"/>
      <c r="G48" s="350"/>
      <c r="H48" s="197" t="s">
        <v>235</v>
      </c>
      <c r="I48" s="133" t="s">
        <v>191</v>
      </c>
      <c r="J48" s="132" t="str">
        <f>IF($G$47=$V$47,1,"-")</f>
        <v>-</v>
      </c>
      <c r="K48" s="77"/>
      <c r="L48" s="355"/>
      <c r="M48" s="34" t="str">
        <f t="shared" ref="M48:M64" si="9">IF(OR(Q48=$X$9,Q48=$X$10),K48,"")</f>
        <v/>
      </c>
      <c r="N48" s="35" t="str">
        <f t="shared" si="8"/>
        <v/>
      </c>
      <c r="O48" s="35"/>
      <c r="P48" s="35"/>
      <c r="Q48" s="238"/>
      <c r="R48" s="161"/>
      <c r="S48" s="294"/>
      <c r="T48" s="9"/>
      <c r="V48" s="11" t="s">
        <v>190</v>
      </c>
    </row>
    <row r="49" spans="6:22" ht="45" customHeight="1" x14ac:dyDescent="0.2">
      <c r="F49" s="348"/>
      <c r="G49" s="350"/>
      <c r="H49" s="197" t="s">
        <v>236</v>
      </c>
      <c r="I49" s="133" t="s">
        <v>192</v>
      </c>
      <c r="J49" s="132" t="str">
        <f t="shared" ref="J49:J52" si="10">IF($G$47=$V$47,1,"-")</f>
        <v>-</v>
      </c>
      <c r="K49" s="77"/>
      <c r="L49" s="355"/>
      <c r="M49" s="34" t="str">
        <f t="shared" si="9"/>
        <v/>
      </c>
      <c r="N49" s="35" t="str">
        <f t="shared" si="8"/>
        <v/>
      </c>
      <c r="O49" s="35"/>
      <c r="P49" s="35"/>
      <c r="Q49" s="238"/>
      <c r="R49" s="161"/>
      <c r="S49" s="294"/>
      <c r="T49" s="9"/>
      <c r="V49" s="11" t="s">
        <v>281</v>
      </c>
    </row>
    <row r="50" spans="6:22" ht="45" customHeight="1" x14ac:dyDescent="0.2">
      <c r="F50" s="348"/>
      <c r="G50" s="350"/>
      <c r="H50" s="197" t="s">
        <v>237</v>
      </c>
      <c r="I50" s="133" t="s">
        <v>193</v>
      </c>
      <c r="J50" s="132" t="str">
        <f t="shared" si="10"/>
        <v>-</v>
      </c>
      <c r="K50" s="77"/>
      <c r="L50" s="355"/>
      <c r="M50" s="34" t="str">
        <f t="shared" si="9"/>
        <v/>
      </c>
      <c r="N50" s="35" t="str">
        <f t="shared" si="8"/>
        <v/>
      </c>
      <c r="O50" s="35"/>
      <c r="P50" s="35"/>
      <c r="Q50" s="238"/>
      <c r="R50" s="161"/>
      <c r="S50" s="294"/>
      <c r="T50" s="9"/>
      <c r="V50" s="11" t="s">
        <v>283</v>
      </c>
    </row>
    <row r="51" spans="6:22" ht="45" customHeight="1" x14ac:dyDescent="0.2">
      <c r="F51" s="348"/>
      <c r="G51" s="350"/>
      <c r="H51" s="197" t="s">
        <v>238</v>
      </c>
      <c r="I51" s="207" t="s">
        <v>302</v>
      </c>
      <c r="J51" s="132" t="str">
        <f t="shared" si="10"/>
        <v>-</v>
      </c>
      <c r="K51" s="77"/>
      <c r="L51" s="355"/>
      <c r="M51" s="34" t="str">
        <f t="shared" si="9"/>
        <v/>
      </c>
      <c r="N51" s="35" t="str">
        <f t="shared" si="8"/>
        <v/>
      </c>
      <c r="O51" s="35"/>
      <c r="P51" s="35"/>
      <c r="Q51" s="238"/>
      <c r="R51" s="161"/>
      <c r="S51" s="294"/>
      <c r="T51" s="9"/>
      <c r="V51" s="11" t="s">
        <v>282</v>
      </c>
    </row>
    <row r="52" spans="6:22" ht="45" customHeight="1" x14ac:dyDescent="0.2">
      <c r="F52" s="348"/>
      <c r="G52" s="350"/>
      <c r="H52" s="197" t="s">
        <v>239</v>
      </c>
      <c r="I52" s="133" t="s">
        <v>195</v>
      </c>
      <c r="J52" s="132" t="str">
        <f t="shared" si="10"/>
        <v>-</v>
      </c>
      <c r="K52" s="77"/>
      <c r="L52" s="355"/>
      <c r="M52" s="34" t="str">
        <f t="shared" si="9"/>
        <v/>
      </c>
      <c r="N52" s="35" t="str">
        <f t="shared" si="8"/>
        <v/>
      </c>
      <c r="O52" s="35"/>
      <c r="P52" s="35"/>
      <c r="Q52" s="238"/>
      <c r="R52" s="161"/>
      <c r="S52" s="294"/>
      <c r="T52" s="9"/>
    </row>
    <row r="53" spans="6:22" ht="45" customHeight="1" x14ac:dyDescent="0.2">
      <c r="F53" s="348"/>
      <c r="G53" s="350"/>
      <c r="H53" s="197" t="s">
        <v>240</v>
      </c>
      <c r="I53" s="207" t="s">
        <v>194</v>
      </c>
      <c r="J53" s="132" t="str">
        <f>IF($G$47=$V$47,1,"-")</f>
        <v>-</v>
      </c>
      <c r="K53" s="77"/>
      <c r="L53" s="355"/>
      <c r="M53" s="34" t="str">
        <f t="shared" si="9"/>
        <v/>
      </c>
      <c r="N53" s="35" t="str">
        <f t="shared" si="8"/>
        <v/>
      </c>
      <c r="O53" s="35"/>
      <c r="P53" s="35"/>
      <c r="Q53" s="238"/>
      <c r="R53" s="161"/>
      <c r="S53" s="294"/>
      <c r="T53" s="9"/>
    </row>
    <row r="54" spans="6:22" ht="45" customHeight="1" x14ac:dyDescent="0.2">
      <c r="F54" s="348"/>
      <c r="G54" s="350"/>
      <c r="H54" s="197" t="s">
        <v>289</v>
      </c>
      <c r="I54" s="207" t="s">
        <v>290</v>
      </c>
      <c r="J54" s="132" t="str">
        <f>IF($G$47=$V$47,2,"-")</f>
        <v>-</v>
      </c>
      <c r="K54" s="77"/>
      <c r="L54" s="355"/>
      <c r="M54" s="34" t="str">
        <f t="shared" si="9"/>
        <v/>
      </c>
      <c r="N54" s="35" t="str">
        <f t="shared" si="8"/>
        <v/>
      </c>
      <c r="O54" s="35"/>
      <c r="P54" s="35"/>
      <c r="Q54" s="238"/>
      <c r="R54" s="161"/>
      <c r="S54" s="294"/>
      <c r="T54" s="9"/>
    </row>
    <row r="55" spans="6:22" ht="45" customHeight="1" x14ac:dyDescent="0.2">
      <c r="F55" s="348"/>
      <c r="G55" s="350"/>
      <c r="H55" s="197" t="s">
        <v>241</v>
      </c>
      <c r="I55" s="133" t="s">
        <v>96</v>
      </c>
      <c r="J55" s="132" t="s">
        <v>98</v>
      </c>
      <c r="K55" s="96"/>
      <c r="L55" s="33"/>
      <c r="M55" s="34" t="str">
        <f t="shared" si="9"/>
        <v/>
      </c>
      <c r="N55" s="35" t="str">
        <f t="shared" si="8"/>
        <v/>
      </c>
      <c r="O55" s="35"/>
      <c r="P55" s="35"/>
      <c r="Q55" s="238"/>
      <c r="R55" s="161"/>
      <c r="S55" s="294"/>
      <c r="T55" s="9"/>
    </row>
    <row r="56" spans="6:22" ht="45" customHeight="1" x14ac:dyDescent="0.2">
      <c r="F56" s="348"/>
      <c r="G56" s="350"/>
      <c r="H56" s="197" t="s">
        <v>242</v>
      </c>
      <c r="I56" s="133" t="s">
        <v>44</v>
      </c>
      <c r="J56" s="132" t="str">
        <f>IF(G47=V48,12,"-")</f>
        <v>-</v>
      </c>
      <c r="K56" s="96"/>
      <c r="L56" s="33" t="str">
        <f>IF(AND(K56&gt;0,$K$55&lt;&gt;$Y$8),"!","")</f>
        <v/>
      </c>
      <c r="M56" s="34" t="str">
        <f t="shared" si="9"/>
        <v/>
      </c>
      <c r="N56" s="35" t="str">
        <f t="shared" si="8"/>
        <v/>
      </c>
      <c r="O56" s="35"/>
      <c r="P56" s="35"/>
      <c r="Q56" s="238"/>
      <c r="R56" s="161"/>
      <c r="S56" s="294"/>
      <c r="T56" s="9"/>
    </row>
    <row r="57" spans="6:22" ht="45" customHeight="1" x14ac:dyDescent="0.2">
      <c r="F57" s="348"/>
      <c r="G57" s="350"/>
      <c r="H57" s="197" t="s">
        <v>243</v>
      </c>
      <c r="I57" s="207" t="s">
        <v>284</v>
      </c>
      <c r="J57" s="132" t="s">
        <v>98</v>
      </c>
      <c r="K57" s="96"/>
      <c r="L57" s="33"/>
      <c r="M57" s="34" t="str">
        <f t="shared" si="9"/>
        <v/>
      </c>
      <c r="N57" s="35" t="str">
        <f t="shared" si="8"/>
        <v/>
      </c>
      <c r="O57" s="35"/>
      <c r="P57" s="35"/>
      <c r="Q57" s="238"/>
      <c r="R57" s="161"/>
      <c r="S57" s="294"/>
      <c r="T57" s="9"/>
    </row>
    <row r="58" spans="6:22" ht="45" customHeight="1" x14ac:dyDescent="0.2">
      <c r="F58" s="348"/>
      <c r="G58" s="350"/>
      <c r="H58" s="197" t="s">
        <v>244</v>
      </c>
      <c r="I58" s="207" t="s">
        <v>288</v>
      </c>
      <c r="J58" s="132" t="str">
        <f>IF(G47=V49,16,"-")</f>
        <v>-</v>
      </c>
      <c r="K58" s="96"/>
      <c r="L58" s="33" t="str">
        <f>IF(AND(K58&gt;0,$K$57&lt;&gt;$Y$8),"!","")</f>
        <v/>
      </c>
      <c r="M58" s="34" t="str">
        <f t="shared" si="9"/>
        <v/>
      </c>
      <c r="N58" s="35" t="str">
        <f t="shared" si="8"/>
        <v/>
      </c>
      <c r="O58" s="35"/>
      <c r="P58" s="35"/>
      <c r="Q58" s="238"/>
      <c r="R58" s="161"/>
      <c r="S58" s="294"/>
      <c r="T58" s="9"/>
    </row>
    <row r="59" spans="6:22" ht="45" customHeight="1" x14ac:dyDescent="0.2">
      <c r="F59" s="348"/>
      <c r="G59" s="350"/>
      <c r="H59" s="197" t="s">
        <v>245</v>
      </c>
      <c r="I59" s="207" t="s">
        <v>196</v>
      </c>
      <c r="J59" s="132" t="s">
        <v>98</v>
      </c>
      <c r="K59" s="96"/>
      <c r="L59" s="33"/>
      <c r="M59" s="34" t="str">
        <f t="shared" si="9"/>
        <v/>
      </c>
      <c r="N59" s="35" t="str">
        <f t="shared" si="8"/>
        <v/>
      </c>
      <c r="O59" s="35"/>
      <c r="P59" s="35"/>
      <c r="Q59" s="238"/>
      <c r="R59" s="161"/>
      <c r="S59" s="294"/>
      <c r="T59" s="9"/>
    </row>
    <row r="60" spans="6:22" ht="45" customHeight="1" x14ac:dyDescent="0.2">
      <c r="F60" s="348"/>
      <c r="G60" s="350"/>
      <c r="H60" s="197" t="s">
        <v>246</v>
      </c>
      <c r="I60" s="207" t="s">
        <v>197</v>
      </c>
      <c r="J60" s="132" t="str">
        <f>IF(G47=V50,16,"-")</f>
        <v>-</v>
      </c>
      <c r="K60" s="96"/>
      <c r="L60" s="33" t="str">
        <f>IF(AND(K60&gt;0,$K$59&lt;&gt;$Y$8),"!","")</f>
        <v/>
      </c>
      <c r="M60" s="34" t="str">
        <f t="shared" si="9"/>
        <v/>
      </c>
      <c r="N60" s="35" t="str">
        <f t="shared" si="8"/>
        <v/>
      </c>
      <c r="O60" s="35"/>
      <c r="P60" s="35"/>
      <c r="Q60" s="238"/>
      <c r="R60" s="161"/>
      <c r="S60" s="294"/>
      <c r="T60" s="9"/>
    </row>
    <row r="61" spans="6:22" ht="45" customHeight="1" x14ac:dyDescent="0.2">
      <c r="F61" s="348"/>
      <c r="G61" s="350"/>
      <c r="H61" s="197" t="s">
        <v>286</v>
      </c>
      <c r="I61" s="235" t="s">
        <v>303</v>
      </c>
      <c r="J61" s="197" t="s">
        <v>98</v>
      </c>
      <c r="K61" s="96"/>
      <c r="L61" s="33"/>
      <c r="M61" s="34" t="str">
        <f t="shared" si="9"/>
        <v/>
      </c>
      <c r="N61" s="35" t="str">
        <f t="shared" si="8"/>
        <v/>
      </c>
      <c r="O61" s="35"/>
      <c r="P61" s="35"/>
      <c r="Q61" s="238"/>
      <c r="R61" s="161"/>
      <c r="S61" s="294"/>
      <c r="T61" s="9"/>
    </row>
    <row r="62" spans="6:22" ht="45" customHeight="1" x14ac:dyDescent="0.2">
      <c r="F62" s="349"/>
      <c r="G62" s="358"/>
      <c r="H62" s="197" t="s">
        <v>285</v>
      </c>
      <c r="I62" s="207" t="s">
        <v>287</v>
      </c>
      <c r="J62" s="132">
        <f>IF(G47=V51,20,"-")</f>
        <v>20</v>
      </c>
      <c r="K62" s="96"/>
      <c r="L62" s="33" t="str">
        <f>IF(AND(K62&gt;0,K61&lt;&gt;$Y$8),"!","")</f>
        <v/>
      </c>
      <c r="M62" s="34" t="str">
        <f t="shared" si="9"/>
        <v/>
      </c>
      <c r="N62" s="35" t="str">
        <f t="shared" si="8"/>
        <v/>
      </c>
      <c r="O62" s="35"/>
      <c r="P62" s="35"/>
      <c r="Q62" s="238"/>
      <c r="R62" s="161"/>
      <c r="S62" s="294"/>
      <c r="T62" s="9"/>
    </row>
    <row r="63" spans="6:22" ht="45" customHeight="1" x14ac:dyDescent="0.2">
      <c r="F63" s="343" t="s">
        <v>95</v>
      </c>
      <c r="G63" s="345" t="s">
        <v>122</v>
      </c>
      <c r="H63" s="198" t="s">
        <v>247</v>
      </c>
      <c r="I63" s="208" t="s">
        <v>291</v>
      </c>
      <c r="J63" s="128" t="str">
        <f>IF(G63=V63,1,"-")</f>
        <v>-</v>
      </c>
      <c r="K63" s="96"/>
      <c r="L63" s="79"/>
      <c r="M63" s="34" t="str">
        <f t="shared" si="9"/>
        <v/>
      </c>
      <c r="N63" s="35" t="str">
        <f t="shared" si="8"/>
        <v/>
      </c>
      <c r="O63" s="35"/>
      <c r="P63" s="35"/>
      <c r="Q63" s="238"/>
      <c r="R63" s="161"/>
      <c r="S63" s="294"/>
      <c r="V63" s="9" t="s">
        <v>198</v>
      </c>
    </row>
    <row r="64" spans="6:22" ht="45" customHeight="1" x14ac:dyDescent="0.2">
      <c r="F64" s="344"/>
      <c r="G64" s="346"/>
      <c r="H64" s="199" t="s">
        <v>248</v>
      </c>
      <c r="I64" s="209" t="s">
        <v>292</v>
      </c>
      <c r="J64" s="129">
        <f>IF(G63=V64,2,"-")</f>
        <v>2</v>
      </c>
      <c r="K64" s="103"/>
      <c r="L64" s="75"/>
      <c r="M64" s="34" t="str">
        <f t="shared" si="9"/>
        <v/>
      </c>
      <c r="N64" s="35" t="str">
        <f t="shared" si="8"/>
        <v/>
      </c>
      <c r="O64" s="35"/>
      <c r="P64" s="35"/>
      <c r="Q64" s="238"/>
      <c r="R64" s="161"/>
      <c r="S64" s="294"/>
      <c r="V64" s="11" t="s">
        <v>122</v>
      </c>
    </row>
    <row r="65" spans="2:22" ht="45" customHeight="1" x14ac:dyDescent="0.2">
      <c r="F65" s="47" t="s">
        <v>70</v>
      </c>
      <c r="G65" s="47"/>
      <c r="H65" s="48"/>
      <c r="I65" s="47"/>
      <c r="J65" s="48">
        <f>IF(G47=V47,5+SUM(J63:J64),SUM(J47:J64))</f>
        <v>22</v>
      </c>
      <c r="K65" s="48">
        <f>SUM(K47:K64)</f>
        <v>0</v>
      </c>
      <c r="L65" s="33" t="str">
        <f>IF(K65&gt;J65,"!","")</f>
        <v/>
      </c>
      <c r="M65" s="49">
        <f>SUM(M47:M64)</f>
        <v>0</v>
      </c>
      <c r="N65" s="49">
        <f>SUM(N47:N64)</f>
        <v>0</v>
      </c>
      <c r="O65" s="51"/>
      <c r="P65" s="51"/>
      <c r="Q65" s="240"/>
      <c r="R65" s="65"/>
      <c r="S65" s="298"/>
      <c r="T65" s="9"/>
    </row>
    <row r="66" spans="2:22" ht="45" customHeight="1" x14ac:dyDescent="0.25">
      <c r="L66" s="80"/>
      <c r="Q66" s="242"/>
      <c r="T66" s="9"/>
    </row>
    <row r="67" spans="2:22" ht="45" customHeight="1" x14ac:dyDescent="0.2">
      <c r="F67" s="272" t="s">
        <v>3</v>
      </c>
      <c r="G67" s="81"/>
      <c r="H67" s="82"/>
      <c r="I67" s="81"/>
      <c r="J67" s="58">
        <f>10-SUM(B68:B73)</f>
        <v>10</v>
      </c>
      <c r="K67" s="58"/>
      <c r="L67" s="79"/>
      <c r="M67" s="204"/>
      <c r="N67" s="204"/>
      <c r="O67" s="204"/>
      <c r="P67" s="204"/>
      <c r="Q67" s="223"/>
      <c r="R67" s="36"/>
      <c r="S67" s="297"/>
      <c r="T67" s="73"/>
    </row>
    <row r="68" spans="2:22" ht="45" customHeight="1" x14ac:dyDescent="0.2">
      <c r="F68" s="347" t="s">
        <v>121</v>
      </c>
      <c r="G68" s="350" t="s">
        <v>122</v>
      </c>
      <c r="H68" s="83" t="s">
        <v>249</v>
      </c>
      <c r="I68" s="84" t="s">
        <v>122</v>
      </c>
      <c r="J68" s="85">
        <f>IF(G68=V68,10,0)</f>
        <v>10</v>
      </c>
      <c r="K68" s="74"/>
      <c r="L68" s="75"/>
      <c r="M68" s="34" t="str">
        <f>IF(OR(Q68=$X$9,Q68=$X$10),K68,"")</f>
        <v/>
      </c>
      <c r="N68" s="35" t="str">
        <f t="shared" ref="N68:N73" si="11">IF(Q68=$X$11,K68,"")</f>
        <v/>
      </c>
      <c r="O68" s="35"/>
      <c r="P68" s="35"/>
      <c r="Q68" s="239"/>
      <c r="R68" s="161"/>
      <c r="S68" s="294"/>
      <c r="V68" s="9" t="s">
        <v>122</v>
      </c>
    </row>
    <row r="69" spans="2:22" ht="45" customHeight="1" x14ac:dyDescent="0.2">
      <c r="F69" s="348"/>
      <c r="G69" s="350"/>
      <c r="H69" s="86" t="s">
        <v>250</v>
      </c>
      <c r="I69" s="87" t="s">
        <v>37</v>
      </c>
      <c r="J69" s="88">
        <f>IF($G$68=$V$69,3,0)</f>
        <v>0</v>
      </c>
      <c r="K69" s="76"/>
      <c r="L69" s="75"/>
      <c r="M69" s="34" t="str">
        <f t="shared" ref="M69:M73" si="12">IF(OR(Q69=$X$9,Q69=$X$10),K69,"")</f>
        <v/>
      </c>
      <c r="N69" s="35" t="str">
        <f t="shared" si="11"/>
        <v/>
      </c>
      <c r="O69" s="35"/>
      <c r="P69" s="35"/>
      <c r="Q69" s="238"/>
      <c r="R69" s="161"/>
      <c r="S69" s="294"/>
      <c r="V69" s="9" t="s">
        <v>198</v>
      </c>
    </row>
    <row r="70" spans="2:22" ht="45" customHeight="1" x14ac:dyDescent="0.2">
      <c r="B70" s="189">
        <f>IF(AND($G$68=$V$69,C70=TRUE),1,0)</f>
        <v>0</v>
      </c>
      <c r="C70" s="189" t="b">
        <v>0</v>
      </c>
      <c r="F70" s="348"/>
      <c r="G70" s="350"/>
      <c r="H70" s="86" t="s">
        <v>251</v>
      </c>
      <c r="I70" s="159" t="s">
        <v>38</v>
      </c>
      <c r="J70" s="88">
        <f>IF(OR($G$68=$V$68,C70=TRUE),0,1)</f>
        <v>0</v>
      </c>
      <c r="K70" s="76"/>
      <c r="L70" s="75"/>
      <c r="M70" s="34" t="str">
        <f t="shared" si="12"/>
        <v/>
      </c>
      <c r="N70" s="35" t="str">
        <f t="shared" si="11"/>
        <v/>
      </c>
      <c r="O70" s="35"/>
      <c r="P70" s="35"/>
      <c r="Q70" s="238"/>
      <c r="R70" s="161"/>
      <c r="S70" s="294"/>
      <c r="T70" s="9"/>
    </row>
    <row r="71" spans="2:22" ht="45" customHeight="1" x14ac:dyDescent="0.2">
      <c r="B71" s="189">
        <f>IF(AND($G$68=$V$69,C71=TRUE),1,0)</f>
        <v>0</v>
      </c>
      <c r="C71" s="189" t="b">
        <v>0</v>
      </c>
      <c r="F71" s="348"/>
      <c r="G71" s="350"/>
      <c r="H71" s="86" t="s">
        <v>252</v>
      </c>
      <c r="I71" s="159" t="s">
        <v>39</v>
      </c>
      <c r="J71" s="88">
        <f>IF(OR($G$68=$V$68,C71=TRUE),0,1)</f>
        <v>0</v>
      </c>
      <c r="K71" s="76"/>
      <c r="L71" s="75"/>
      <c r="M71" s="34" t="str">
        <f t="shared" si="12"/>
        <v/>
      </c>
      <c r="N71" s="35" t="str">
        <f t="shared" si="11"/>
        <v/>
      </c>
      <c r="O71" s="35"/>
      <c r="P71" s="35"/>
      <c r="Q71" s="238"/>
      <c r="R71" s="161"/>
      <c r="S71" s="294"/>
      <c r="T71" s="9"/>
    </row>
    <row r="72" spans="2:22" ht="45" customHeight="1" x14ac:dyDescent="0.2">
      <c r="F72" s="348"/>
      <c r="G72" s="350"/>
      <c r="H72" s="86" t="s">
        <v>253</v>
      </c>
      <c r="I72" s="87" t="s">
        <v>40</v>
      </c>
      <c r="J72" s="88">
        <f>IF($G$68=$V$69,1,0)</f>
        <v>0</v>
      </c>
      <c r="K72" s="76"/>
      <c r="L72" s="75"/>
      <c r="M72" s="34" t="str">
        <f t="shared" si="12"/>
        <v/>
      </c>
      <c r="N72" s="35" t="str">
        <f t="shared" si="11"/>
        <v/>
      </c>
      <c r="O72" s="35"/>
      <c r="P72" s="35"/>
      <c r="Q72" s="238"/>
      <c r="R72" s="161"/>
      <c r="S72" s="294"/>
      <c r="T72" s="9"/>
    </row>
    <row r="73" spans="2:22" ht="45" customHeight="1" x14ac:dyDescent="0.2">
      <c r="F73" s="349"/>
      <c r="G73" s="350"/>
      <c r="H73" s="89" t="s">
        <v>254</v>
      </c>
      <c r="I73" s="90" t="s">
        <v>182</v>
      </c>
      <c r="J73" s="91">
        <f>IF($G$68=$V$69,1,0)</f>
        <v>0</v>
      </c>
      <c r="K73" s="78"/>
      <c r="L73" s="75"/>
      <c r="M73" s="34" t="str">
        <f t="shared" si="12"/>
        <v/>
      </c>
      <c r="N73" s="35" t="str">
        <f t="shared" si="11"/>
        <v/>
      </c>
      <c r="O73" s="35"/>
      <c r="P73" s="35"/>
      <c r="Q73" s="238"/>
      <c r="R73" s="161"/>
      <c r="S73" s="294"/>
      <c r="T73" s="9"/>
    </row>
    <row r="74" spans="2:22" ht="45" customHeight="1" x14ac:dyDescent="0.2">
      <c r="F74" s="47" t="s">
        <v>70</v>
      </c>
      <c r="G74" s="47"/>
      <c r="H74" s="48"/>
      <c r="I74" s="47"/>
      <c r="J74" s="48">
        <f>SUM(J68:J73)</f>
        <v>10</v>
      </c>
      <c r="K74" s="48">
        <f>SUM(K68:K73)</f>
        <v>0</v>
      </c>
      <c r="L74" s="33" t="str">
        <f>IF(K74&gt;J74,"!","")</f>
        <v/>
      </c>
      <c r="M74" s="49">
        <f t="shared" ref="M74:N74" si="13">SUM(M68:M73)</f>
        <v>0</v>
      </c>
      <c r="N74" s="49">
        <f t="shared" si="13"/>
        <v>0</v>
      </c>
      <c r="O74" s="51"/>
      <c r="P74" s="51"/>
      <c r="Q74" s="240"/>
      <c r="R74" s="65"/>
      <c r="S74" s="298"/>
      <c r="T74" s="9"/>
    </row>
    <row r="75" spans="2:22" ht="45" customHeight="1" x14ac:dyDescent="0.25">
      <c r="L75" s="80"/>
      <c r="Q75" s="242"/>
    </row>
    <row r="76" spans="2:22" ht="45" customHeight="1" x14ac:dyDescent="0.2">
      <c r="F76" s="272" t="s">
        <v>4</v>
      </c>
      <c r="G76" s="81"/>
      <c r="H76" s="82"/>
      <c r="I76" s="81"/>
      <c r="J76" s="58">
        <f>12-SUM(B77:B82)</f>
        <v>12</v>
      </c>
      <c r="K76" s="58"/>
      <c r="L76" s="79"/>
      <c r="M76" s="204"/>
      <c r="N76" s="204"/>
      <c r="O76" s="204"/>
      <c r="P76" s="204"/>
      <c r="Q76" s="223"/>
      <c r="R76" s="36"/>
      <c r="S76" s="297"/>
      <c r="T76" s="73"/>
    </row>
    <row r="77" spans="2:22" ht="45" customHeight="1" x14ac:dyDescent="0.2">
      <c r="F77" s="351" t="s">
        <v>10</v>
      </c>
      <c r="G77" s="350" t="s">
        <v>122</v>
      </c>
      <c r="H77" s="83" t="s">
        <v>255</v>
      </c>
      <c r="I77" s="84" t="s">
        <v>293</v>
      </c>
      <c r="J77" s="85">
        <f>IF(G77=V77,12,0)</f>
        <v>12</v>
      </c>
      <c r="K77" s="92"/>
      <c r="L77" s="75"/>
      <c r="M77" s="34" t="str">
        <f>IF(OR(Q77=$X$9,Q77=$X$10),K77,"")</f>
        <v/>
      </c>
      <c r="N77" s="35" t="str">
        <f t="shared" ref="N77:N82" si="14">IF(Q77=$X$11,K77,"")</f>
        <v/>
      </c>
      <c r="O77" s="35"/>
      <c r="P77" s="35"/>
      <c r="Q77" s="239"/>
      <c r="R77" s="36"/>
      <c r="S77" s="294"/>
      <c r="T77" s="9"/>
      <c r="V77" s="9" t="s">
        <v>122</v>
      </c>
    </row>
    <row r="78" spans="2:22" ht="45" customHeight="1" x14ac:dyDescent="0.2">
      <c r="F78" s="343"/>
      <c r="G78" s="350"/>
      <c r="H78" s="86" t="s">
        <v>256</v>
      </c>
      <c r="I78" s="87" t="s">
        <v>123</v>
      </c>
      <c r="J78" s="88">
        <f>IF($G$77=$V$78,1,0)</f>
        <v>0</v>
      </c>
      <c r="K78" s="93"/>
      <c r="L78" s="75"/>
      <c r="M78" s="34" t="str">
        <f t="shared" ref="M78:M82" si="15">IF(OR(Q78=$X$9,Q78=$X$10),K78,"")</f>
        <v/>
      </c>
      <c r="N78" s="35" t="str">
        <f t="shared" si="14"/>
        <v/>
      </c>
      <c r="O78" s="35"/>
      <c r="P78" s="35"/>
      <c r="Q78" s="238"/>
      <c r="R78" s="65"/>
      <c r="S78" s="294"/>
      <c r="T78" s="9"/>
      <c r="V78" s="9" t="s">
        <v>198</v>
      </c>
    </row>
    <row r="79" spans="2:22" ht="45" customHeight="1" x14ac:dyDescent="0.2">
      <c r="F79" s="343"/>
      <c r="G79" s="350"/>
      <c r="H79" s="86" t="s">
        <v>257</v>
      </c>
      <c r="I79" s="87" t="s">
        <v>124</v>
      </c>
      <c r="J79" s="88">
        <f t="shared" ref="J79" si="16">IF($G$77=$V$78,1,0)</f>
        <v>0</v>
      </c>
      <c r="K79" s="93"/>
      <c r="L79" s="75"/>
      <c r="M79" s="34" t="str">
        <f t="shared" si="15"/>
        <v/>
      </c>
      <c r="N79" s="35" t="str">
        <f t="shared" si="14"/>
        <v/>
      </c>
      <c r="O79" s="35"/>
      <c r="P79" s="35"/>
      <c r="Q79" s="238"/>
      <c r="R79" s="65"/>
      <c r="S79" s="294"/>
      <c r="T79" s="9"/>
    </row>
    <row r="80" spans="2:22" ht="45" customHeight="1" x14ac:dyDescent="0.2">
      <c r="F80" s="343"/>
      <c r="G80" s="350"/>
      <c r="H80" s="86" t="s">
        <v>258</v>
      </c>
      <c r="I80" s="87" t="s">
        <v>125</v>
      </c>
      <c r="J80" s="88">
        <f>IF($G$77=$V$78,2,0)</f>
        <v>0</v>
      </c>
      <c r="K80" s="93"/>
      <c r="L80" s="75"/>
      <c r="M80" s="34" t="str">
        <f t="shared" si="15"/>
        <v/>
      </c>
      <c r="N80" s="35" t="str">
        <f t="shared" si="14"/>
        <v/>
      </c>
      <c r="O80" s="35"/>
      <c r="P80" s="35"/>
      <c r="Q80" s="238"/>
      <c r="R80" s="65"/>
      <c r="S80" s="294"/>
      <c r="T80" s="9"/>
    </row>
    <row r="81" spans="1:22" ht="45" customHeight="1" x14ac:dyDescent="0.2">
      <c r="B81" s="189">
        <f>IF(AND($G$77=$V$78,C81=TRUE),1,0)</f>
        <v>0</v>
      </c>
      <c r="C81" s="189" t="b">
        <v>0</v>
      </c>
      <c r="F81" s="343"/>
      <c r="G81" s="350"/>
      <c r="H81" s="86" t="s">
        <v>259</v>
      </c>
      <c r="I81" s="159" t="s">
        <v>126</v>
      </c>
      <c r="J81" s="88">
        <f>IF(OR($G$77=$V$77,C81=TRUE),0,1)</f>
        <v>0</v>
      </c>
      <c r="K81" s="93"/>
      <c r="L81" s="75"/>
      <c r="M81" s="34" t="str">
        <f t="shared" si="15"/>
        <v/>
      </c>
      <c r="N81" s="35" t="str">
        <f t="shared" si="14"/>
        <v/>
      </c>
      <c r="O81" s="35"/>
      <c r="P81" s="35"/>
      <c r="Q81" s="238"/>
      <c r="R81" s="65"/>
      <c r="S81" s="294"/>
      <c r="T81" s="9"/>
    </row>
    <row r="82" spans="1:22" ht="45" customHeight="1" x14ac:dyDescent="0.2">
      <c r="B82" s="189">
        <f>IF(AND($G$77=$V$78,C82=TRUE),1,0)</f>
        <v>0</v>
      </c>
      <c r="C82" s="189" t="b">
        <v>0</v>
      </c>
      <c r="F82" s="344"/>
      <c r="G82" s="350"/>
      <c r="H82" s="89" t="s">
        <v>260</v>
      </c>
      <c r="I82" s="159" t="s">
        <v>127</v>
      </c>
      <c r="J82" s="91">
        <f>IF(OR($G$77=$V$77,C82=TRUE),0,1)</f>
        <v>0</v>
      </c>
      <c r="K82" s="94"/>
      <c r="L82" s="75"/>
      <c r="M82" s="34" t="str">
        <f t="shared" si="15"/>
        <v/>
      </c>
      <c r="N82" s="35" t="str">
        <f t="shared" si="14"/>
        <v/>
      </c>
      <c r="O82" s="35"/>
      <c r="P82" s="35"/>
      <c r="Q82" s="238"/>
      <c r="R82" s="65"/>
      <c r="S82" s="294"/>
      <c r="T82" s="9"/>
    </row>
    <row r="83" spans="1:22" ht="45" customHeight="1" x14ac:dyDescent="0.2">
      <c r="F83" s="47" t="s">
        <v>70</v>
      </c>
      <c r="G83" s="47"/>
      <c r="H83" s="48"/>
      <c r="I83" s="47"/>
      <c r="J83" s="48">
        <f>SUM(J77:J82)</f>
        <v>12</v>
      </c>
      <c r="K83" s="48">
        <f>SUM(K77:K82)</f>
        <v>0</v>
      </c>
      <c r="L83" s="33" t="str">
        <f>IF(K83&gt;J83,"!","")</f>
        <v/>
      </c>
      <c r="M83" s="49">
        <f t="shared" ref="M83:N83" si="17">SUM(M77:M82)</f>
        <v>0</v>
      </c>
      <c r="N83" s="49">
        <f t="shared" si="17"/>
        <v>0</v>
      </c>
      <c r="O83" s="51"/>
      <c r="P83" s="51"/>
      <c r="Q83" s="240"/>
      <c r="R83" s="65"/>
      <c r="S83" s="298"/>
      <c r="T83" s="9"/>
    </row>
    <row r="84" spans="1:22" ht="45" customHeight="1" x14ac:dyDescent="0.25">
      <c r="L84" s="80"/>
      <c r="Q84" s="242"/>
    </row>
    <row r="85" spans="1:22" ht="45" customHeight="1" x14ac:dyDescent="0.2">
      <c r="F85" s="272" t="s">
        <v>5</v>
      </c>
      <c r="G85" s="81"/>
      <c r="H85" s="58"/>
      <c r="I85" s="81"/>
      <c r="J85" s="58">
        <f>14-SUM(B86:B96)</f>
        <v>14</v>
      </c>
      <c r="K85" s="58"/>
      <c r="L85" s="79"/>
      <c r="M85" s="204"/>
      <c r="N85" s="204"/>
      <c r="O85" s="204"/>
      <c r="P85" s="204"/>
      <c r="Q85" s="223"/>
      <c r="R85" s="36"/>
      <c r="S85" s="297"/>
      <c r="T85" s="73"/>
      <c r="V85" s="9"/>
    </row>
    <row r="86" spans="1:22" ht="45" customHeight="1" x14ac:dyDescent="0.2">
      <c r="F86" s="352" t="s">
        <v>148</v>
      </c>
      <c r="G86" s="350" t="s">
        <v>280</v>
      </c>
      <c r="H86" s="136" t="s">
        <v>270</v>
      </c>
      <c r="I86" s="236" t="s">
        <v>41</v>
      </c>
      <c r="J86" s="95">
        <f>IF($G$86=$V$86,6,0)</f>
        <v>6</v>
      </c>
      <c r="K86" s="77"/>
      <c r="L86" s="75"/>
      <c r="M86" s="34" t="str">
        <f>IF(OR(Q86=$X$9,Q86=$X$10),K86,"")</f>
        <v/>
      </c>
      <c r="N86" s="35" t="str">
        <f t="shared" ref="N86:N96" si="18">IF(Q86=$X$11,K86,"")</f>
        <v/>
      </c>
      <c r="O86" s="35"/>
      <c r="P86" s="35"/>
      <c r="Q86" s="239"/>
      <c r="R86" s="36"/>
      <c r="S86" s="294"/>
      <c r="T86" s="9"/>
      <c r="V86" s="65" t="s">
        <v>280</v>
      </c>
    </row>
    <row r="87" spans="1:22" ht="45" customHeight="1" x14ac:dyDescent="0.2">
      <c r="F87" s="353"/>
      <c r="G87" s="350"/>
      <c r="H87" s="136" t="s">
        <v>271</v>
      </c>
      <c r="I87" s="236" t="s">
        <v>42</v>
      </c>
      <c r="J87" s="95">
        <f>IF($G$86=$V$86,1,0)</f>
        <v>1</v>
      </c>
      <c r="K87" s="77"/>
      <c r="L87" s="75"/>
      <c r="M87" s="34" t="str">
        <f t="shared" ref="M87:M96" si="19">IF(OR(Q87=$X$9,Q87=$X$10),K87,"")</f>
        <v/>
      </c>
      <c r="N87" s="35" t="str">
        <f t="shared" si="18"/>
        <v/>
      </c>
      <c r="O87" s="35"/>
      <c r="P87" s="35"/>
      <c r="Q87" s="238"/>
      <c r="R87" s="36"/>
      <c r="S87" s="294"/>
      <c r="T87" s="9"/>
      <c r="V87" s="11" t="s">
        <v>294</v>
      </c>
    </row>
    <row r="88" spans="1:22" ht="45" customHeight="1" x14ac:dyDescent="0.2">
      <c r="F88" s="353"/>
      <c r="G88" s="350"/>
      <c r="H88" s="136" t="s">
        <v>261</v>
      </c>
      <c r="I88" s="155" t="s">
        <v>159</v>
      </c>
      <c r="J88" s="95">
        <f>IF($G$86=$V$87,3,0)</f>
        <v>0</v>
      </c>
      <c r="K88" s="77"/>
      <c r="L88" s="334" t="str">
        <f>IF(SUM(K88:K90)&gt;5,"Error: the total number of points available for the 'Material Use' Pathway is 5. Please enter a points score less than or equal to 5.","")</f>
        <v/>
      </c>
      <c r="M88" s="34" t="str">
        <f t="shared" si="19"/>
        <v/>
      </c>
      <c r="N88" s="35" t="str">
        <f t="shared" si="18"/>
        <v/>
      </c>
      <c r="O88" s="35"/>
      <c r="P88" s="35"/>
      <c r="Q88" s="238"/>
      <c r="R88" s="36"/>
      <c r="S88" s="294"/>
      <c r="T88" s="9"/>
    </row>
    <row r="89" spans="1:22" ht="45" customHeight="1" x14ac:dyDescent="0.2">
      <c r="F89" s="353"/>
      <c r="G89" s="350"/>
      <c r="H89" s="136" t="s">
        <v>262</v>
      </c>
      <c r="I89" s="155" t="s">
        <v>160</v>
      </c>
      <c r="J89" s="95">
        <f>IF($G$86=$V$87,1,0)</f>
        <v>0</v>
      </c>
      <c r="K89" s="77"/>
      <c r="L89" s="334"/>
      <c r="M89" s="34" t="str">
        <f t="shared" si="19"/>
        <v/>
      </c>
      <c r="N89" s="35" t="str">
        <f t="shared" si="18"/>
        <v/>
      </c>
      <c r="O89" s="35"/>
      <c r="P89" s="35"/>
      <c r="Q89" s="238"/>
      <c r="R89" s="36"/>
      <c r="S89" s="294"/>
      <c r="T89" s="9"/>
    </row>
    <row r="90" spans="1:22" ht="45" customHeight="1" x14ac:dyDescent="0.2">
      <c r="A90" s="189">
        <v>4</v>
      </c>
      <c r="B90" s="189">
        <f t="shared" ref="B90:B93" si="20">IF(C90=TRUE,A90,0)</f>
        <v>0</v>
      </c>
      <c r="F90" s="354"/>
      <c r="G90" s="350"/>
      <c r="H90" s="136" t="s">
        <v>263</v>
      </c>
      <c r="I90" s="156" t="s">
        <v>161</v>
      </c>
      <c r="J90" s="95">
        <f>IF($G$86=$V$87,4,0)</f>
        <v>0</v>
      </c>
      <c r="K90" s="77"/>
      <c r="L90" s="334"/>
      <c r="M90" s="34" t="str">
        <f t="shared" si="19"/>
        <v/>
      </c>
      <c r="N90" s="35" t="str">
        <f t="shared" si="18"/>
        <v/>
      </c>
      <c r="O90" s="35"/>
      <c r="P90" s="35"/>
      <c r="Q90" s="238"/>
      <c r="R90" s="36"/>
      <c r="S90" s="294"/>
      <c r="T90" s="9"/>
    </row>
    <row r="91" spans="1:22" ht="45" customHeight="1" x14ac:dyDescent="0.2">
      <c r="A91" s="189">
        <v>1</v>
      </c>
      <c r="B91" s="189">
        <f t="shared" si="20"/>
        <v>0</v>
      </c>
      <c r="C91" s="189" t="b">
        <v>0</v>
      </c>
      <c r="F91" s="335" t="s">
        <v>147</v>
      </c>
      <c r="G91" s="337" t="s">
        <v>150</v>
      </c>
      <c r="H91" s="154">
        <v>20.100000000000001</v>
      </c>
      <c r="I91" s="153" t="s">
        <v>304</v>
      </c>
      <c r="J91" s="95">
        <f>IF(C91=TRUE,0,1)</f>
        <v>1</v>
      </c>
      <c r="K91" s="64"/>
      <c r="L91" s="75"/>
      <c r="M91" s="34" t="str">
        <f t="shared" si="19"/>
        <v/>
      </c>
      <c r="N91" s="35" t="str">
        <f t="shared" si="18"/>
        <v/>
      </c>
      <c r="O91" s="35"/>
      <c r="P91" s="35"/>
      <c r="Q91" s="238"/>
      <c r="R91" s="36"/>
      <c r="S91" s="294"/>
      <c r="T91" s="9"/>
    </row>
    <row r="92" spans="1:22" ht="45" customHeight="1" x14ac:dyDescent="0.2">
      <c r="A92" s="189">
        <v>1</v>
      </c>
      <c r="B92" s="189">
        <f t="shared" si="20"/>
        <v>0</v>
      </c>
      <c r="C92" s="189" t="b">
        <v>0</v>
      </c>
      <c r="F92" s="336"/>
      <c r="G92" s="338"/>
      <c r="H92" s="154">
        <v>20.2</v>
      </c>
      <c r="I92" s="153" t="s">
        <v>305</v>
      </c>
      <c r="J92" s="95">
        <f t="shared" ref="J92:J93" si="21">IF(C92=TRUE,0,1)</f>
        <v>1</v>
      </c>
      <c r="K92" s="64"/>
      <c r="L92" s="33"/>
      <c r="M92" s="34" t="str">
        <f t="shared" si="19"/>
        <v/>
      </c>
      <c r="N92" s="35" t="str">
        <f t="shared" si="18"/>
        <v/>
      </c>
      <c r="O92" s="35"/>
      <c r="P92" s="35"/>
      <c r="Q92" s="238"/>
      <c r="R92" s="36"/>
      <c r="S92" s="294"/>
      <c r="T92" s="9"/>
    </row>
    <row r="93" spans="1:22" ht="45" customHeight="1" x14ac:dyDescent="0.2">
      <c r="A93" s="189">
        <v>1</v>
      </c>
      <c r="B93" s="189">
        <f t="shared" si="20"/>
        <v>0</v>
      </c>
      <c r="C93" s="189" t="b">
        <v>0</v>
      </c>
      <c r="F93" s="327"/>
      <c r="G93" s="339"/>
      <c r="H93" s="154">
        <v>20.3</v>
      </c>
      <c r="I93" s="153" t="s">
        <v>306</v>
      </c>
      <c r="J93" s="95">
        <f t="shared" si="21"/>
        <v>1</v>
      </c>
      <c r="K93" s="64"/>
      <c r="L93" s="33"/>
      <c r="M93" s="34" t="str">
        <f t="shared" si="19"/>
        <v/>
      </c>
      <c r="N93" s="35" t="str">
        <f t="shared" si="18"/>
        <v/>
      </c>
      <c r="O93" s="35"/>
      <c r="P93" s="35"/>
      <c r="Q93" s="238"/>
      <c r="R93" s="36"/>
      <c r="S93" s="294"/>
      <c r="T93" s="9"/>
    </row>
    <row r="94" spans="1:22" ht="45" customHeight="1" x14ac:dyDescent="0.2">
      <c r="F94" s="270" t="s">
        <v>63</v>
      </c>
      <c r="G94" s="151" t="s">
        <v>149</v>
      </c>
      <c r="H94" s="152">
        <v>21.1</v>
      </c>
      <c r="I94" s="153" t="s">
        <v>307</v>
      </c>
      <c r="J94" s="95">
        <v>3</v>
      </c>
      <c r="K94" s="64"/>
      <c r="L94" s="79"/>
      <c r="M94" s="34" t="str">
        <f t="shared" si="19"/>
        <v/>
      </c>
      <c r="N94" s="35" t="str">
        <f>IF(Q94=$X$11,K94,"")</f>
        <v/>
      </c>
      <c r="O94" s="35"/>
      <c r="P94" s="35"/>
      <c r="Q94" s="238"/>
      <c r="R94" s="36"/>
      <c r="S94" s="294"/>
      <c r="T94" s="9"/>
    </row>
    <row r="95" spans="1:22" ht="45" customHeight="1" x14ac:dyDescent="0.2">
      <c r="F95" s="335" t="s">
        <v>164</v>
      </c>
      <c r="G95" s="341" t="s">
        <v>312</v>
      </c>
      <c r="H95" s="244" t="s">
        <v>313</v>
      </c>
      <c r="I95" s="153" t="s">
        <v>311</v>
      </c>
      <c r="J95" s="95" t="str">
        <f>IF(G95=V95,1,"-")</f>
        <v>-</v>
      </c>
      <c r="K95" s="64"/>
      <c r="L95" s="79"/>
      <c r="M95" s="34"/>
      <c r="N95" s="35"/>
      <c r="O95" s="35"/>
      <c r="P95" s="35"/>
      <c r="Q95" s="238"/>
      <c r="R95" s="36"/>
      <c r="S95" s="294"/>
      <c r="T95" s="9"/>
      <c r="V95" s="11" t="s">
        <v>311</v>
      </c>
    </row>
    <row r="96" spans="1:22" ht="45" customHeight="1" x14ac:dyDescent="0.2">
      <c r="F96" s="327"/>
      <c r="G96" s="342"/>
      <c r="H96" s="244" t="s">
        <v>314</v>
      </c>
      <c r="I96" s="279" t="s">
        <v>312</v>
      </c>
      <c r="J96" s="95">
        <f>IF(G95=V96,1,"-")</f>
        <v>1</v>
      </c>
      <c r="K96" s="64"/>
      <c r="L96" s="33"/>
      <c r="M96" s="34" t="str">
        <f t="shared" si="19"/>
        <v/>
      </c>
      <c r="N96" s="35" t="str">
        <f t="shared" si="18"/>
        <v/>
      </c>
      <c r="O96" s="35"/>
      <c r="P96" s="35"/>
      <c r="Q96" s="238"/>
      <c r="R96" s="36"/>
      <c r="S96" s="294"/>
      <c r="T96" s="9"/>
      <c r="V96" s="11" t="s">
        <v>312</v>
      </c>
    </row>
    <row r="97" spans="1:20" ht="45" customHeight="1" x14ac:dyDescent="0.2">
      <c r="F97" s="47" t="s">
        <v>70</v>
      </c>
      <c r="G97" s="47"/>
      <c r="H97" s="48"/>
      <c r="I97" s="47"/>
      <c r="J97" s="48">
        <f>IF(G86=V87,12,14)</f>
        <v>14</v>
      </c>
      <c r="K97" s="48">
        <f>SUM(K86:K96)</f>
        <v>0</v>
      </c>
      <c r="L97" s="33" t="str">
        <f>IF(K97&gt;J97,"!","")</f>
        <v/>
      </c>
      <c r="M97" s="49">
        <f>SUM(M86:M96)</f>
        <v>0</v>
      </c>
      <c r="N97" s="49">
        <f>SUM(N86:N96)</f>
        <v>0</v>
      </c>
      <c r="O97" s="51"/>
      <c r="P97" s="51"/>
      <c r="Q97" s="240"/>
      <c r="R97" s="65"/>
      <c r="S97" s="298"/>
      <c r="T97" s="9"/>
    </row>
    <row r="98" spans="1:20" ht="45" customHeight="1" x14ac:dyDescent="0.25">
      <c r="L98" s="80"/>
      <c r="Q98" s="242"/>
      <c r="R98" s="195"/>
    </row>
    <row r="99" spans="1:20" ht="45" customHeight="1" x14ac:dyDescent="0.2">
      <c r="F99" s="333" t="s">
        <v>11</v>
      </c>
      <c r="G99" s="333"/>
      <c r="H99" s="333"/>
      <c r="I99" s="333"/>
      <c r="J99" s="58">
        <f>6-SUM(B100:B105)</f>
        <v>6</v>
      </c>
      <c r="K99" s="58"/>
      <c r="L99" s="79"/>
      <c r="M99" s="340"/>
      <c r="N99" s="340"/>
      <c r="O99" s="277"/>
      <c r="P99" s="277"/>
      <c r="Q99" s="223"/>
      <c r="R99" s="195"/>
      <c r="S99" s="297"/>
      <c r="T99" s="73"/>
    </row>
    <row r="100" spans="1:20" ht="45" customHeight="1" x14ac:dyDescent="0.2">
      <c r="F100" s="327" t="s">
        <v>12</v>
      </c>
      <c r="G100" s="329" t="s">
        <v>129</v>
      </c>
      <c r="H100" s="97">
        <v>23</v>
      </c>
      <c r="I100" s="98" t="s">
        <v>46</v>
      </c>
      <c r="J100" s="38" t="s">
        <v>98</v>
      </c>
      <c r="K100" s="99"/>
      <c r="L100" s="75"/>
      <c r="M100" s="34" t="str">
        <f>IF(OR(Q100=$X$9,Q100=$X$10),K100,"")</f>
        <v/>
      </c>
      <c r="N100" s="35" t="str">
        <f t="shared" ref="N100:N105" si="22">IF(Q100=$X$11,K100,"")</f>
        <v/>
      </c>
      <c r="O100" s="35"/>
      <c r="P100" s="35"/>
      <c r="Q100" s="239"/>
      <c r="S100" s="294"/>
      <c r="T100" s="9"/>
    </row>
    <row r="101" spans="1:20" ht="45" customHeight="1" x14ac:dyDescent="0.2">
      <c r="F101" s="328"/>
      <c r="G101" s="330"/>
      <c r="H101" s="40">
        <v>23.1</v>
      </c>
      <c r="I101" s="66" t="s">
        <v>12</v>
      </c>
      <c r="J101" s="67">
        <v>3</v>
      </c>
      <c r="K101" s="77"/>
      <c r="L101" s="33" t="str">
        <f>IF(AND(K101&gt;0,$K100&lt;&gt;$Y$8),"!","")</f>
        <v/>
      </c>
      <c r="M101" s="34" t="str">
        <f t="shared" ref="M101:M105" si="23">IF(OR(Q101=$X$9,Q101=$X$10),K101,"")</f>
        <v/>
      </c>
      <c r="N101" s="35" t="str">
        <f t="shared" si="22"/>
        <v/>
      </c>
      <c r="O101" s="35"/>
      <c r="P101" s="35"/>
      <c r="Q101" s="238"/>
      <c r="S101" s="294"/>
      <c r="T101" s="9"/>
    </row>
    <row r="102" spans="1:20" ht="45" customHeight="1" x14ac:dyDescent="0.2">
      <c r="F102" s="328" t="s">
        <v>45</v>
      </c>
      <c r="G102" s="331" t="s">
        <v>130</v>
      </c>
      <c r="H102" s="40">
        <v>24</v>
      </c>
      <c r="I102" s="100" t="s">
        <v>36</v>
      </c>
      <c r="J102" s="67" t="s">
        <v>98</v>
      </c>
      <c r="K102" s="77"/>
      <c r="L102" s="75"/>
      <c r="M102" s="34" t="str">
        <f t="shared" si="23"/>
        <v/>
      </c>
      <c r="N102" s="35" t="str">
        <f t="shared" si="22"/>
        <v/>
      </c>
      <c r="O102" s="35"/>
      <c r="P102" s="35"/>
      <c r="Q102" s="238"/>
      <c r="S102" s="294"/>
      <c r="T102" s="9"/>
    </row>
    <row r="103" spans="1:20" ht="45" customHeight="1" x14ac:dyDescent="0.2">
      <c r="F103" s="328"/>
      <c r="G103" s="329"/>
      <c r="H103" s="40">
        <v>24.1</v>
      </c>
      <c r="I103" s="100" t="s">
        <v>64</v>
      </c>
      <c r="J103" s="67">
        <v>1</v>
      </c>
      <c r="K103" s="77"/>
      <c r="L103" s="33" t="str">
        <f>IF(AND(K103&gt;0,$K$102&lt;&gt;$Y$8),"!","")</f>
        <v/>
      </c>
      <c r="M103" s="34" t="str">
        <f t="shared" si="23"/>
        <v/>
      </c>
      <c r="N103" s="35" t="str">
        <f t="shared" si="22"/>
        <v/>
      </c>
      <c r="O103" s="35"/>
      <c r="P103" s="35"/>
      <c r="Q103" s="238"/>
      <c r="S103" s="294"/>
      <c r="T103" s="9"/>
    </row>
    <row r="104" spans="1:20" ht="45" customHeight="1" x14ac:dyDescent="0.2">
      <c r="A104" s="189">
        <v>1</v>
      </c>
      <c r="B104" s="189">
        <f t="shared" ref="B104" si="24">IF(C104=TRUE,A104,0)</f>
        <v>0</v>
      </c>
      <c r="C104" s="189" t="b">
        <v>0</v>
      </c>
      <c r="F104" s="328"/>
      <c r="G104" s="330"/>
      <c r="H104" s="40">
        <v>24.2</v>
      </c>
      <c r="I104" s="100" t="s">
        <v>199</v>
      </c>
      <c r="J104" s="67">
        <f>IF(C104=FALSE,1,0)</f>
        <v>1</v>
      </c>
      <c r="K104" s="77"/>
      <c r="L104" s="33" t="str">
        <f>IF(AND(K104&gt;0,$K$102&lt;&gt;$Y$8),"!","")</f>
        <v/>
      </c>
      <c r="M104" s="34" t="str">
        <f t="shared" si="23"/>
        <v/>
      </c>
      <c r="N104" s="35" t="str">
        <f t="shared" si="22"/>
        <v/>
      </c>
      <c r="O104" s="35"/>
      <c r="P104" s="35"/>
      <c r="Q104" s="238"/>
      <c r="S104" s="294"/>
      <c r="T104" s="9"/>
    </row>
    <row r="105" spans="1:20" ht="45" customHeight="1" x14ac:dyDescent="0.2">
      <c r="F105" s="274" t="s">
        <v>128</v>
      </c>
      <c r="G105" s="271" t="s">
        <v>131</v>
      </c>
      <c r="H105" s="101">
        <v>25</v>
      </c>
      <c r="I105" s="102" t="s">
        <v>47</v>
      </c>
      <c r="J105" s="69">
        <v>1</v>
      </c>
      <c r="K105" s="103"/>
      <c r="L105" s="33"/>
      <c r="M105" s="34" t="str">
        <f t="shared" si="23"/>
        <v/>
      </c>
      <c r="N105" s="35" t="str">
        <f t="shared" si="22"/>
        <v/>
      </c>
      <c r="O105" s="35"/>
      <c r="P105" s="35"/>
      <c r="Q105" s="238"/>
      <c r="S105" s="294"/>
      <c r="T105" s="9"/>
    </row>
    <row r="106" spans="1:20" ht="45" customHeight="1" x14ac:dyDescent="0.2">
      <c r="F106" s="47" t="s">
        <v>70</v>
      </c>
      <c r="G106" s="47"/>
      <c r="H106" s="48"/>
      <c r="I106" s="47"/>
      <c r="J106" s="48">
        <f>SUM(J100:J105)</f>
        <v>6</v>
      </c>
      <c r="K106" s="48">
        <f>SUM(K100:K105)</f>
        <v>0</v>
      </c>
      <c r="L106" s="33" t="str">
        <f>IF(K106&gt;J106,"!","")</f>
        <v/>
      </c>
      <c r="M106" s="49">
        <f t="shared" ref="M106:N106" si="25">SUM(M100:M105)</f>
        <v>0</v>
      </c>
      <c r="N106" s="49">
        <f t="shared" si="25"/>
        <v>0</v>
      </c>
      <c r="O106" s="51"/>
      <c r="P106" s="51"/>
      <c r="Q106" s="240"/>
      <c r="R106" s="65"/>
      <c r="S106" s="298"/>
      <c r="T106" s="9"/>
    </row>
    <row r="107" spans="1:20" ht="45" customHeight="1" x14ac:dyDescent="0.25">
      <c r="L107" s="80"/>
      <c r="Q107" s="242"/>
    </row>
    <row r="108" spans="1:20" ht="45" customHeight="1" x14ac:dyDescent="0.2">
      <c r="F108" s="333" t="s">
        <v>6</v>
      </c>
      <c r="G108" s="333"/>
      <c r="H108" s="333"/>
      <c r="I108" s="333"/>
      <c r="J108" s="58">
        <f>5-SUM(B109:B114)</f>
        <v>5</v>
      </c>
      <c r="K108" s="58"/>
      <c r="L108" s="79"/>
      <c r="M108" s="204"/>
      <c r="N108" s="204"/>
      <c r="O108" s="204"/>
      <c r="P108" s="204"/>
      <c r="Q108" s="223"/>
      <c r="R108" s="36"/>
      <c r="S108" s="297"/>
      <c r="T108" s="73"/>
    </row>
    <row r="109" spans="1:20" ht="45" customHeight="1" x14ac:dyDescent="0.2">
      <c r="F109" s="327" t="s">
        <v>13</v>
      </c>
      <c r="G109" s="329" t="s">
        <v>133</v>
      </c>
      <c r="H109" s="97">
        <v>26.1</v>
      </c>
      <c r="I109" s="66" t="s">
        <v>295</v>
      </c>
      <c r="J109" s="38">
        <v>1</v>
      </c>
      <c r="K109" s="99"/>
      <c r="L109" s="75"/>
      <c r="M109" s="34" t="str">
        <f>IF(OR(Q109=$X$9,Q109=$X$10),K109,"")</f>
        <v/>
      </c>
      <c r="N109" s="35" t="str">
        <f t="shared" ref="N109:N114" si="26">IF(Q109=$X$11,K109,"")</f>
        <v/>
      </c>
      <c r="O109" s="35"/>
      <c r="P109" s="35"/>
      <c r="Q109" s="239"/>
      <c r="R109" s="9"/>
      <c r="S109" s="294"/>
      <c r="T109" s="9"/>
    </row>
    <row r="110" spans="1:20" ht="45" customHeight="1" x14ac:dyDescent="0.2">
      <c r="F110" s="328"/>
      <c r="G110" s="330"/>
      <c r="H110" s="40">
        <v>26.2</v>
      </c>
      <c r="I110" s="100" t="s">
        <v>200</v>
      </c>
      <c r="J110" s="67">
        <v>1</v>
      </c>
      <c r="K110" s="77"/>
      <c r="L110" s="75"/>
      <c r="M110" s="34" t="str">
        <f t="shared" ref="M110:M114" si="27">IF(OR(Q110=$X$9,Q110=$X$10),K110,"")</f>
        <v/>
      </c>
      <c r="N110" s="35" t="str">
        <f t="shared" si="26"/>
        <v/>
      </c>
      <c r="O110" s="35"/>
      <c r="P110" s="35"/>
      <c r="Q110" s="238"/>
      <c r="R110" s="9"/>
      <c r="S110" s="294"/>
      <c r="T110" s="9"/>
    </row>
    <row r="111" spans="1:20" ht="45" customHeight="1" x14ac:dyDescent="0.2">
      <c r="F111" s="328" t="s">
        <v>14</v>
      </c>
      <c r="G111" s="331" t="s">
        <v>134</v>
      </c>
      <c r="H111" s="40">
        <v>27</v>
      </c>
      <c r="I111" s="100" t="s">
        <v>201</v>
      </c>
      <c r="J111" s="67" t="s">
        <v>98</v>
      </c>
      <c r="K111" s="77"/>
      <c r="L111" s="75"/>
      <c r="M111" s="34" t="str">
        <f t="shared" si="27"/>
        <v/>
      </c>
      <c r="N111" s="35" t="str">
        <f t="shared" si="26"/>
        <v/>
      </c>
      <c r="O111" s="35"/>
      <c r="P111" s="35"/>
      <c r="Q111" s="238"/>
      <c r="R111" s="9"/>
      <c r="S111" s="294"/>
      <c r="T111" s="9"/>
    </row>
    <row r="112" spans="1:20" ht="45" customHeight="1" x14ac:dyDescent="0.2">
      <c r="F112" s="328"/>
      <c r="G112" s="330"/>
      <c r="H112" s="42">
        <v>27.1</v>
      </c>
      <c r="I112" s="100" t="s">
        <v>132</v>
      </c>
      <c r="J112" s="67">
        <v>1</v>
      </c>
      <c r="K112" s="77"/>
      <c r="L112" s="33" t="str">
        <f>IF(AND(K112&gt;0,$K111&lt;&gt;$Y$8),"!","")</f>
        <v/>
      </c>
      <c r="M112" s="34" t="str">
        <f t="shared" si="27"/>
        <v/>
      </c>
      <c r="N112" s="35" t="str">
        <f t="shared" si="26"/>
        <v/>
      </c>
      <c r="O112" s="35"/>
      <c r="P112" s="35"/>
      <c r="Q112" s="238"/>
      <c r="R112" s="9"/>
      <c r="S112" s="294"/>
      <c r="T112" s="9"/>
    </row>
    <row r="113" spans="2:21" ht="45" customHeight="1" x14ac:dyDescent="0.2">
      <c r="F113" s="270" t="s">
        <v>48</v>
      </c>
      <c r="G113" s="278" t="s">
        <v>135</v>
      </c>
      <c r="H113" s="40">
        <v>28</v>
      </c>
      <c r="I113" s="68" t="s">
        <v>202</v>
      </c>
      <c r="J113" s="67">
        <v>1</v>
      </c>
      <c r="K113" s="77"/>
      <c r="L113" s="75"/>
      <c r="M113" s="34" t="str">
        <f t="shared" si="27"/>
        <v/>
      </c>
      <c r="N113" s="35" t="str">
        <f t="shared" si="26"/>
        <v/>
      </c>
      <c r="O113" s="35"/>
      <c r="P113" s="35"/>
      <c r="Q113" s="238"/>
      <c r="R113" s="9"/>
      <c r="S113" s="294"/>
      <c r="T113" s="9"/>
    </row>
    <row r="114" spans="2:21" ht="45" customHeight="1" x14ac:dyDescent="0.2">
      <c r="F114" s="104" t="s">
        <v>49</v>
      </c>
      <c r="G114" s="271" t="s">
        <v>136</v>
      </c>
      <c r="H114" s="101">
        <v>29</v>
      </c>
      <c r="I114" s="68" t="s">
        <v>183</v>
      </c>
      <c r="J114" s="69">
        <v>1</v>
      </c>
      <c r="K114" s="103"/>
      <c r="L114" s="75"/>
      <c r="M114" s="34" t="str">
        <f t="shared" si="27"/>
        <v/>
      </c>
      <c r="N114" s="35" t="str">
        <f t="shared" si="26"/>
        <v/>
      </c>
      <c r="O114" s="35"/>
      <c r="P114" s="35"/>
      <c r="Q114" s="238"/>
      <c r="R114" s="9"/>
      <c r="S114" s="294"/>
      <c r="T114" s="9"/>
    </row>
    <row r="115" spans="2:21" ht="45" customHeight="1" x14ac:dyDescent="0.2">
      <c r="F115" s="47" t="s">
        <v>70</v>
      </c>
      <c r="G115" s="47"/>
      <c r="H115" s="48"/>
      <c r="I115" s="47"/>
      <c r="J115" s="48">
        <f>SUM(J109:J114)</f>
        <v>5</v>
      </c>
      <c r="K115" s="48">
        <f>SUM(K109:K114)</f>
        <v>0</v>
      </c>
      <c r="L115" s="33" t="str">
        <f>IF(K115&gt;J115,"!","")</f>
        <v/>
      </c>
      <c r="M115" s="49">
        <f t="shared" ref="M115:N115" si="28">SUM(M109:M114)</f>
        <v>0</v>
      </c>
      <c r="N115" s="49">
        <f t="shared" si="28"/>
        <v>0</v>
      </c>
      <c r="O115" s="105"/>
      <c r="P115" s="105"/>
      <c r="Q115" s="243"/>
      <c r="R115" s="9"/>
      <c r="S115" s="300"/>
      <c r="T115" s="9"/>
    </row>
    <row r="116" spans="2:21" ht="45" customHeight="1" x14ac:dyDescent="0.2">
      <c r="F116" s="106"/>
      <c r="G116" s="106"/>
      <c r="H116" s="105"/>
      <c r="I116" s="106"/>
      <c r="J116" s="105"/>
      <c r="K116" s="105"/>
      <c r="L116" s="79"/>
      <c r="M116" s="105"/>
      <c r="N116" s="105"/>
      <c r="O116" s="105"/>
      <c r="P116" s="105"/>
      <c r="Q116" s="243"/>
      <c r="R116" s="107"/>
      <c r="S116" s="300"/>
      <c r="T116" s="9"/>
    </row>
    <row r="117" spans="2:21" ht="45" customHeight="1" x14ac:dyDescent="0.2">
      <c r="F117" s="333" t="s">
        <v>18</v>
      </c>
      <c r="G117" s="333"/>
      <c r="H117" s="333"/>
      <c r="I117" s="333"/>
      <c r="J117" s="58">
        <v>10</v>
      </c>
      <c r="K117" s="108"/>
      <c r="L117" s="79"/>
      <c r="M117" s="109"/>
      <c r="N117" s="110"/>
      <c r="O117" s="110"/>
      <c r="P117" s="110"/>
      <c r="Q117" s="224"/>
      <c r="R117" s="111"/>
      <c r="S117" s="301"/>
      <c r="T117" s="73"/>
    </row>
    <row r="118" spans="2:21" ht="45" customHeight="1" x14ac:dyDescent="0.2">
      <c r="F118" s="273" t="s">
        <v>137</v>
      </c>
      <c r="G118" s="112" t="s">
        <v>142</v>
      </c>
      <c r="H118" s="38" t="s">
        <v>264</v>
      </c>
      <c r="I118" s="276" t="s">
        <v>137</v>
      </c>
      <c r="J118" s="332">
        <v>10</v>
      </c>
      <c r="K118" s="99"/>
      <c r="L118" s="75"/>
      <c r="M118" s="34" t="str">
        <f>IF(OR(Q118=$X$9,Q118=$X$10),K118,"")</f>
        <v/>
      </c>
      <c r="N118" s="35" t="str">
        <f t="shared" ref="N118:N122" si="29">IF(Q118=$X$11,K118,"")</f>
        <v/>
      </c>
      <c r="O118" s="35"/>
      <c r="P118" s="35"/>
      <c r="Q118" s="239"/>
      <c r="R118" s="111"/>
      <c r="S118" s="294"/>
      <c r="T118" s="9"/>
    </row>
    <row r="119" spans="2:21" ht="45" customHeight="1" x14ac:dyDescent="0.2">
      <c r="F119" s="270" t="s">
        <v>138</v>
      </c>
      <c r="G119" s="46" t="s">
        <v>143</v>
      </c>
      <c r="H119" s="67" t="s">
        <v>265</v>
      </c>
      <c r="I119" s="113" t="s">
        <v>138</v>
      </c>
      <c r="J119" s="332"/>
      <c r="K119" s="99"/>
      <c r="L119" s="75"/>
      <c r="M119" s="34" t="str">
        <f t="shared" ref="M119:M122" si="30">IF(OR(Q119=$X$9,Q119=$X$10),K119,"")</f>
        <v/>
      </c>
      <c r="N119" s="35" t="str">
        <f t="shared" si="29"/>
        <v/>
      </c>
      <c r="O119" s="35"/>
      <c r="P119" s="35"/>
      <c r="Q119" s="238"/>
      <c r="R119" s="111"/>
      <c r="S119" s="294"/>
      <c r="T119" s="9"/>
    </row>
    <row r="120" spans="2:21" ht="45" customHeight="1" x14ac:dyDescent="0.2">
      <c r="F120" s="270" t="s">
        <v>139</v>
      </c>
      <c r="G120" s="46" t="s">
        <v>144</v>
      </c>
      <c r="H120" s="67" t="s">
        <v>266</v>
      </c>
      <c r="I120" s="113" t="s">
        <v>139</v>
      </c>
      <c r="J120" s="332"/>
      <c r="K120" s="99"/>
      <c r="L120" s="75"/>
      <c r="M120" s="34" t="str">
        <f t="shared" si="30"/>
        <v/>
      </c>
      <c r="N120" s="35" t="str">
        <f t="shared" si="29"/>
        <v/>
      </c>
      <c r="O120" s="35"/>
      <c r="P120" s="35"/>
      <c r="Q120" s="238"/>
      <c r="R120" s="111"/>
      <c r="S120" s="294"/>
      <c r="T120" s="9"/>
    </row>
    <row r="121" spans="2:21" ht="45" customHeight="1" x14ac:dyDescent="0.2">
      <c r="F121" s="270" t="s">
        <v>140</v>
      </c>
      <c r="G121" s="46" t="s">
        <v>145</v>
      </c>
      <c r="H121" s="67" t="s">
        <v>267</v>
      </c>
      <c r="I121" s="113" t="s">
        <v>140</v>
      </c>
      <c r="J121" s="332"/>
      <c r="K121" s="99"/>
      <c r="L121" s="75"/>
      <c r="M121" s="34" t="str">
        <f t="shared" si="30"/>
        <v/>
      </c>
      <c r="N121" s="35" t="str">
        <f t="shared" si="29"/>
        <v/>
      </c>
      <c r="O121" s="35"/>
      <c r="P121" s="35"/>
      <c r="Q121" s="238"/>
      <c r="R121" s="111"/>
      <c r="S121" s="294"/>
      <c r="T121" s="9"/>
    </row>
    <row r="122" spans="2:21" ht="45" customHeight="1" x14ac:dyDescent="0.2">
      <c r="F122" s="274" t="s">
        <v>141</v>
      </c>
      <c r="G122" s="114" t="s">
        <v>146</v>
      </c>
      <c r="H122" s="69" t="s">
        <v>268</v>
      </c>
      <c r="I122" s="275" t="s">
        <v>141</v>
      </c>
      <c r="J122" s="332"/>
      <c r="K122" s="99"/>
      <c r="L122" s="75"/>
      <c r="M122" s="34" t="str">
        <f t="shared" si="30"/>
        <v/>
      </c>
      <c r="N122" s="35" t="str">
        <f t="shared" si="29"/>
        <v/>
      </c>
      <c r="O122" s="35"/>
      <c r="P122" s="35"/>
      <c r="Q122" s="238"/>
      <c r="R122" s="111"/>
      <c r="S122" s="294"/>
      <c r="T122" s="9"/>
    </row>
    <row r="123" spans="2:21" ht="45" customHeight="1" x14ac:dyDescent="0.2">
      <c r="F123" s="47" t="s">
        <v>70</v>
      </c>
      <c r="G123" s="47"/>
      <c r="H123" s="48"/>
      <c r="I123" s="47"/>
      <c r="J123" s="48">
        <f>SUM(J118)</f>
        <v>10</v>
      </c>
      <c r="K123" s="48">
        <f>IF(SUM(K118:K122)&gt;10,10,SUM(K118:K122))</f>
        <v>0</v>
      </c>
      <c r="L123" s="33" t="str">
        <f>IF(K123&gt;J123,"!","")</f>
        <v/>
      </c>
      <c r="M123" s="49">
        <f t="shared" ref="M123:N123" si="31">SUM(M118:M122)</f>
        <v>0</v>
      </c>
      <c r="N123" s="49">
        <f t="shared" si="31"/>
        <v>0</v>
      </c>
    </row>
    <row r="124" spans="2:21" ht="45" customHeight="1" x14ac:dyDescent="0.2">
      <c r="F124" s="70"/>
      <c r="G124" s="70"/>
      <c r="H124" s="6"/>
      <c r="I124" s="70"/>
      <c r="J124" s="6"/>
      <c r="K124" s="6"/>
      <c r="L124" s="9"/>
      <c r="M124" s="6"/>
      <c r="N124" s="6"/>
      <c r="O124" s="6"/>
      <c r="P124" s="6"/>
      <c r="U124" s="115"/>
    </row>
    <row r="125" spans="2:21" ht="45" customHeight="1" x14ac:dyDescent="0.2">
      <c r="B125" s="192" t="s">
        <v>214</v>
      </c>
      <c r="F125" s="143"/>
      <c r="G125" s="143"/>
      <c r="H125" s="144"/>
      <c r="I125" s="138" t="s">
        <v>207</v>
      </c>
      <c r="J125" s="14" t="s">
        <v>203</v>
      </c>
      <c r="K125" s="14" t="s">
        <v>204</v>
      </c>
      <c r="L125" s="157"/>
      <c r="M125" s="14" t="s">
        <v>209</v>
      </c>
      <c r="N125" s="14" t="s">
        <v>210</v>
      </c>
      <c r="S125" s="302"/>
      <c r="T125" s="73"/>
    </row>
    <row r="126" spans="2:21" ht="45" customHeight="1" x14ac:dyDescent="0.2">
      <c r="B126" s="189">
        <f>SUM(B7:B114)</f>
        <v>0</v>
      </c>
      <c r="F126" s="22"/>
      <c r="G126" s="22"/>
      <c r="H126" s="23"/>
      <c r="I126" s="24" t="s">
        <v>215</v>
      </c>
      <c r="J126" s="147">
        <f>100-B126</f>
        <v>100</v>
      </c>
      <c r="K126" s="148">
        <f>K24+K44+K65+K74+K83+K97+K106+K115</f>
        <v>0</v>
      </c>
      <c r="L126" s="157"/>
      <c r="M126" s="148">
        <f>(M24+M44+M65+M74+M83+M97+M106+M115)/$J$126*100+M123</f>
        <v>0</v>
      </c>
      <c r="N126" s="148">
        <f>(N24+N44+N65+N74+N83+N97+N106+N115)/$J$126*100+N123</f>
        <v>0</v>
      </c>
      <c r="S126" s="303"/>
      <c r="T126" s="9"/>
    </row>
    <row r="127" spans="2:21" ht="45" customHeight="1" x14ac:dyDescent="0.2">
      <c r="F127" s="22"/>
      <c r="G127" s="22"/>
      <c r="H127" s="158"/>
      <c r="I127" s="24" t="s">
        <v>220</v>
      </c>
      <c r="J127" s="145"/>
      <c r="K127" s="162">
        <f>K126/J126*100</f>
        <v>0</v>
      </c>
      <c r="L127" s="140"/>
      <c r="M127" s="157"/>
      <c r="N127" s="157"/>
      <c r="S127" s="303"/>
      <c r="T127" s="9"/>
    </row>
    <row r="128" spans="2:21" ht="45" customHeight="1" x14ac:dyDescent="0.2">
      <c r="F128" s="22"/>
      <c r="G128" s="22"/>
      <c r="H128" s="23"/>
      <c r="I128" s="24" t="s">
        <v>208</v>
      </c>
      <c r="J128" s="147">
        <v>10</v>
      </c>
      <c r="K128" s="148">
        <f>K123</f>
        <v>0</v>
      </c>
      <c r="L128" s="141"/>
      <c r="M128" s="157"/>
      <c r="N128" s="157"/>
      <c r="S128" s="303"/>
      <c r="T128" s="9"/>
    </row>
    <row r="129" spans="4:19" ht="45" customHeight="1" x14ac:dyDescent="0.2">
      <c r="I129" s="24" t="s">
        <v>216</v>
      </c>
      <c r="J129" s="146"/>
      <c r="K129" s="162">
        <f>K127+K128</f>
        <v>0</v>
      </c>
      <c r="L129" s="142"/>
      <c r="M129" s="157"/>
      <c r="N129" s="157"/>
      <c r="S129" s="304"/>
    </row>
    <row r="130" spans="4:19" x14ac:dyDescent="0.2">
      <c r="K130" s="116"/>
      <c r="L130" s="115"/>
      <c r="M130" s="116"/>
      <c r="N130" s="116"/>
      <c r="S130" s="304"/>
    </row>
    <row r="131" spans="4:19" x14ac:dyDescent="0.2">
      <c r="K131" s="116"/>
      <c r="L131" s="115"/>
      <c r="M131" s="116"/>
      <c r="N131" s="116"/>
      <c r="O131" s="116"/>
      <c r="P131" s="116"/>
      <c r="Q131" s="220"/>
      <c r="R131" s="115"/>
      <c r="S131" s="304"/>
    </row>
    <row r="132" spans="4:19" x14ac:dyDescent="0.2">
      <c r="K132" s="116"/>
      <c r="L132" s="115"/>
      <c r="M132" s="116"/>
      <c r="N132" s="116"/>
      <c r="O132" s="116"/>
      <c r="P132" s="116"/>
      <c r="Q132" s="220"/>
      <c r="R132" s="115"/>
      <c r="S132" s="304"/>
    </row>
    <row r="134" spans="4:19" ht="38.25" hidden="1" customHeight="1" x14ac:dyDescent="0.2">
      <c r="D134" s="8" t="s">
        <v>71</v>
      </c>
      <c r="O134" s="202" t="s">
        <v>272</v>
      </c>
      <c r="P134" s="269" t="s">
        <v>273</v>
      </c>
      <c r="Q134" s="205" t="s">
        <v>274</v>
      </c>
      <c r="R134" s="269" t="s">
        <v>275</v>
      </c>
    </row>
    <row r="135" spans="4:19" ht="38.25" hidden="1" customHeight="1" x14ac:dyDescent="0.2">
      <c r="D135" s="8" t="s">
        <v>71</v>
      </c>
      <c r="N135" s="284" t="s">
        <v>231</v>
      </c>
      <c r="O135" s="285"/>
      <c r="P135" s="280">
        <f>COUNTIF(P7:P114,"Core")</f>
        <v>0</v>
      </c>
      <c r="Q135" s="281">
        <f>COUNTIF(Q7:Q114,"Not Awarded - Major Non-compliance")</f>
        <v>0</v>
      </c>
      <c r="R135" s="286"/>
    </row>
    <row r="136" spans="4:19" ht="38.25" hidden="1" customHeight="1" x14ac:dyDescent="0.2">
      <c r="D136" s="8" t="s">
        <v>71</v>
      </c>
      <c r="N136" s="284" t="s">
        <v>228</v>
      </c>
      <c r="O136" s="280">
        <f>COUNTIF(O7:O114,"Stage 1")</f>
        <v>0</v>
      </c>
      <c r="P136" s="280">
        <f>COUNTIF(P7:P114,"Stage 1")</f>
        <v>0</v>
      </c>
      <c r="Q136" s="281">
        <f>COUNTIF(Q7:Q114,"Not Awarded - Major Non-compliance")</f>
        <v>0</v>
      </c>
      <c r="R136" s="282" t="str">
        <f>IF(Q136&gt;P136*0.5, "Go to Stage 2", "Assessment Complete")</f>
        <v>Assessment Complete</v>
      </c>
    </row>
    <row r="137" spans="4:19" ht="38.25" hidden="1" customHeight="1" x14ac:dyDescent="0.2">
      <c r="D137" s="8" t="s">
        <v>71</v>
      </c>
      <c r="N137" s="284" t="s">
        <v>229</v>
      </c>
      <c r="O137" s="280">
        <f>COUNTIF(O7:O114,"Stage 2")</f>
        <v>0</v>
      </c>
      <c r="P137" s="280">
        <f>COUNTIF(P7:P114,"Stage 2")</f>
        <v>0</v>
      </c>
      <c r="Q137" s="281">
        <f>COUNTIF(Q7:Q114,"Not Awarded - Major Non-compliance")</f>
        <v>0</v>
      </c>
      <c r="R137" s="282" t="str">
        <f>IF(AND(R136="Go to Stage 2", P137=0),R136,IF(Q137&gt;SUM(P136:P137)*0.5,"Go to Stage 3","Assessment Complete"))</f>
        <v>Assessment Complete</v>
      </c>
    </row>
    <row r="138" spans="4:19" ht="38.25" hidden="1" customHeight="1" x14ac:dyDescent="0.2">
      <c r="D138" s="8" t="s">
        <v>71</v>
      </c>
      <c r="N138" s="290" t="s">
        <v>230</v>
      </c>
      <c r="O138" s="280">
        <f>COUNTIF(O7:O114,"Stage 3")</f>
        <v>0</v>
      </c>
      <c r="P138" s="280">
        <f>COUNTIF(P7:P114,"Stage 3")</f>
        <v>0</v>
      </c>
      <c r="Q138" s="281">
        <f>COUNTIF(Q7:Q114,"Not Awarded - Major Non-compliance")</f>
        <v>0</v>
      </c>
      <c r="R138" s="287"/>
    </row>
    <row r="139" spans="4:19" ht="38.25" hidden="1" customHeight="1" x14ac:dyDescent="0.2">
      <c r="D139" s="8" t="s">
        <v>71</v>
      </c>
      <c r="O139" s="288"/>
      <c r="P139" s="289"/>
      <c r="Q139" s="283">
        <f>COUNTIF(Q7:Q114,"Awarded - Compliant")+COUNTIF(Q7:Q114,"Awarded - Minor non-Compliance")+COUNTIF(Q7:Q114,"Not Awarded - Major non-compliance")</f>
        <v>0</v>
      </c>
      <c r="R139" s="282" t="str">
        <f>IF(R136="Assessment Complete",R136,IF(R137="Assessment Complete",R137,IF(P135&gt;=1,R137,"Assessment Complete")))</f>
        <v>Assessment Complete</v>
      </c>
    </row>
    <row r="140" spans="4:19" x14ac:dyDescent="0.2">
      <c r="O140" s="200"/>
      <c r="P140" s="200"/>
      <c r="Q140" s="221"/>
      <c r="R140" s="201"/>
    </row>
  </sheetData>
  <sheetProtection algorithmName="SHA-512" hashValue="CKYoxZhMJEscrB0cg/Jx5DkI/HI6UnRBvQncBJ1citszH68cgfssFIUKznBwFQctoNEi7Vbju3m4iJfYPi52Xg==" saltValue="QJ/SmkxgCPZkugMVAhb0Kw==" spinCount="100000" sheet="1" objects="1" scenarios="1"/>
  <mergeCells count="58">
    <mergeCell ref="F14:F15"/>
    <mergeCell ref="G14:G15"/>
    <mergeCell ref="F1:I1"/>
    <mergeCell ref="G2:H2"/>
    <mergeCell ref="G3:H3"/>
    <mergeCell ref="F8:F12"/>
    <mergeCell ref="G8:G12"/>
    <mergeCell ref="F30:F32"/>
    <mergeCell ref="G30:G32"/>
    <mergeCell ref="F16:F17"/>
    <mergeCell ref="G16:G17"/>
    <mergeCell ref="F18:F19"/>
    <mergeCell ref="G18:G19"/>
    <mergeCell ref="F20:F21"/>
    <mergeCell ref="G20:G21"/>
    <mergeCell ref="F22:F23"/>
    <mergeCell ref="G22:G23"/>
    <mergeCell ref="F26:I26"/>
    <mergeCell ref="F27:F29"/>
    <mergeCell ref="G27:G29"/>
    <mergeCell ref="L47:L54"/>
    <mergeCell ref="F33:F36"/>
    <mergeCell ref="G33:G36"/>
    <mergeCell ref="F37:F39"/>
    <mergeCell ref="G37:G39"/>
    <mergeCell ref="F40:F41"/>
    <mergeCell ref="G40:G41"/>
    <mergeCell ref="F42:F43"/>
    <mergeCell ref="G42:G43"/>
    <mergeCell ref="F46:I46"/>
    <mergeCell ref="F47:F62"/>
    <mergeCell ref="G47:G62"/>
    <mergeCell ref="F63:F64"/>
    <mergeCell ref="G63:G64"/>
    <mergeCell ref="F68:F73"/>
    <mergeCell ref="G68:G73"/>
    <mergeCell ref="F77:F82"/>
    <mergeCell ref="G77:G82"/>
    <mergeCell ref="L88:L90"/>
    <mergeCell ref="F91:F93"/>
    <mergeCell ref="G91:G93"/>
    <mergeCell ref="F99:I99"/>
    <mergeCell ref="M99:N99"/>
    <mergeCell ref="F95:F96"/>
    <mergeCell ref="G95:G96"/>
    <mergeCell ref="F86:F90"/>
    <mergeCell ref="G86:G90"/>
    <mergeCell ref="F100:F101"/>
    <mergeCell ref="G100:G101"/>
    <mergeCell ref="F102:F104"/>
    <mergeCell ref="G102:G104"/>
    <mergeCell ref="J118:J122"/>
    <mergeCell ref="F108:I108"/>
    <mergeCell ref="F109:F110"/>
    <mergeCell ref="G109:G110"/>
    <mergeCell ref="F111:F112"/>
    <mergeCell ref="G111:G112"/>
    <mergeCell ref="F117:I117"/>
  </mergeCells>
  <conditionalFormatting sqref="H25:J25">
    <cfRule type="expression" dxfId="141" priority="51">
      <formula>#REF!=0</formula>
    </cfRule>
  </conditionalFormatting>
  <conditionalFormatting sqref="G65">
    <cfRule type="expression" dxfId="140" priority="50">
      <formula>$J$64=0</formula>
    </cfRule>
  </conditionalFormatting>
  <conditionalFormatting sqref="K21">
    <cfRule type="expression" dxfId="139" priority="49">
      <formula>$G$20=$I$21</formula>
    </cfRule>
  </conditionalFormatting>
  <conditionalFormatting sqref="H68:J68">
    <cfRule type="expression" dxfId="138" priority="48">
      <formula>$G$68=$V$68</formula>
    </cfRule>
  </conditionalFormatting>
  <conditionalFormatting sqref="K68">
    <cfRule type="expression" dxfId="137" priority="47">
      <formula>$G$68=$V$68</formula>
    </cfRule>
  </conditionalFormatting>
  <conditionalFormatting sqref="H69:J73">
    <cfRule type="expression" dxfId="136" priority="46">
      <formula>$G$68=$V$69</formula>
    </cfRule>
  </conditionalFormatting>
  <conditionalFormatting sqref="K69:K73">
    <cfRule type="expression" dxfId="135" priority="45">
      <formula>$G$68=$V$69</formula>
    </cfRule>
  </conditionalFormatting>
  <conditionalFormatting sqref="H77:J77">
    <cfRule type="expression" dxfId="134" priority="44">
      <formula>$G$77=$V$77</formula>
    </cfRule>
  </conditionalFormatting>
  <conditionalFormatting sqref="H78:J82">
    <cfRule type="expression" dxfId="133" priority="43">
      <formula>$G$77=$V$78</formula>
    </cfRule>
  </conditionalFormatting>
  <conditionalFormatting sqref="S7:S8 S10:S23 S86:S96">
    <cfRule type="expression" dxfId="132" priority="42">
      <formula>Q7=$X$11</formula>
    </cfRule>
  </conditionalFormatting>
  <conditionalFormatting sqref="S9">
    <cfRule type="expression" dxfId="131" priority="41">
      <formula>Q9=$X$11</formula>
    </cfRule>
  </conditionalFormatting>
  <conditionalFormatting sqref="S27:S43">
    <cfRule type="expression" dxfId="130" priority="40">
      <formula>Q27=$X$11</formula>
    </cfRule>
  </conditionalFormatting>
  <conditionalFormatting sqref="S47:S64">
    <cfRule type="expression" dxfId="129" priority="39">
      <formula>Q47=$X$11</formula>
    </cfRule>
  </conditionalFormatting>
  <conditionalFormatting sqref="S68:S73">
    <cfRule type="expression" dxfId="128" priority="38">
      <formula>Q68=$X$11</formula>
    </cfRule>
  </conditionalFormatting>
  <conditionalFormatting sqref="S77:S82">
    <cfRule type="expression" dxfId="127" priority="37">
      <formula>Q77=$X$11</formula>
    </cfRule>
  </conditionalFormatting>
  <conditionalFormatting sqref="S100:S105">
    <cfRule type="expression" dxfId="126" priority="36">
      <formula>Q100=$X$11</formula>
    </cfRule>
  </conditionalFormatting>
  <conditionalFormatting sqref="S109:S114">
    <cfRule type="expression" dxfId="125" priority="35">
      <formula>Q109=$X$11</formula>
    </cfRule>
  </conditionalFormatting>
  <conditionalFormatting sqref="S118:S122">
    <cfRule type="expression" dxfId="124" priority="34">
      <formula>Q118=$X$11</formula>
    </cfRule>
  </conditionalFormatting>
  <conditionalFormatting sqref="K111">
    <cfRule type="expression" dxfId="123" priority="33">
      <formula>$G$47=$V$50</formula>
    </cfRule>
  </conditionalFormatting>
  <conditionalFormatting sqref="K78:K82">
    <cfRule type="expression" dxfId="122" priority="32">
      <formula>$G$77=$V$78</formula>
    </cfRule>
  </conditionalFormatting>
  <conditionalFormatting sqref="K77">
    <cfRule type="expression" dxfId="121" priority="31">
      <formula>$G$77=$V$77</formula>
    </cfRule>
  </conditionalFormatting>
  <conditionalFormatting sqref="K109:K110">
    <cfRule type="expression" dxfId="120" priority="30">
      <formula>$G$85=$V$86</formula>
    </cfRule>
  </conditionalFormatting>
  <conditionalFormatting sqref="K112:K114">
    <cfRule type="expression" dxfId="119" priority="29">
      <formula>$G$85=$V$86</formula>
    </cfRule>
  </conditionalFormatting>
  <conditionalFormatting sqref="K118:K122">
    <cfRule type="expression" dxfId="118" priority="28">
      <formula>$G$85=$V$86</formula>
    </cfRule>
  </conditionalFormatting>
  <conditionalFormatting sqref="H86:K87">
    <cfRule type="expression" dxfId="117" priority="27">
      <formula>$G$86=$V$87</formula>
    </cfRule>
  </conditionalFormatting>
  <conditionalFormatting sqref="H88:K90">
    <cfRule type="expression" dxfId="116" priority="26">
      <formula>$G$86=$V$86</formula>
    </cfRule>
  </conditionalFormatting>
  <conditionalFormatting sqref="H47:K54">
    <cfRule type="expression" dxfId="115" priority="25">
      <formula>$G$47&lt;&gt;$V$47</formula>
    </cfRule>
  </conditionalFormatting>
  <conditionalFormatting sqref="H55:K56">
    <cfRule type="expression" dxfId="114" priority="24">
      <formula>$G$47&lt;&gt;$V$48</formula>
    </cfRule>
  </conditionalFormatting>
  <conditionalFormatting sqref="H57:K58">
    <cfRule type="expression" dxfId="113" priority="23">
      <formula>$G$47&lt;&gt;$V$49</formula>
    </cfRule>
  </conditionalFormatting>
  <conditionalFormatting sqref="H27:K27 K28:K43">
    <cfRule type="expression" dxfId="112" priority="22">
      <formula>$C27=TRUE</formula>
    </cfRule>
  </conditionalFormatting>
  <conditionalFormatting sqref="H28:J28">
    <cfRule type="expression" dxfId="111" priority="21">
      <formula>$C28=TRUE</formula>
    </cfRule>
  </conditionalFormatting>
  <conditionalFormatting sqref="H29:J32">
    <cfRule type="expression" dxfId="110" priority="20">
      <formula>$C29=TRUE</formula>
    </cfRule>
  </conditionalFormatting>
  <conditionalFormatting sqref="H34:J36">
    <cfRule type="expression" dxfId="109" priority="19">
      <formula>$C34=TRUE</formula>
    </cfRule>
  </conditionalFormatting>
  <conditionalFormatting sqref="H38:J43">
    <cfRule type="expression" dxfId="108" priority="18">
      <formula>$C38=TRUE</formula>
    </cfRule>
  </conditionalFormatting>
  <conditionalFormatting sqref="H70:K70">
    <cfRule type="expression" dxfId="107" priority="17">
      <formula>$C$70=TRUE</formula>
    </cfRule>
  </conditionalFormatting>
  <conditionalFormatting sqref="H71:K71">
    <cfRule type="expression" dxfId="106" priority="16">
      <formula>$C$71=TRUE</formula>
    </cfRule>
  </conditionalFormatting>
  <conditionalFormatting sqref="H81:K81">
    <cfRule type="expression" dxfId="105" priority="15">
      <formula>$C$81=TRUE</formula>
    </cfRule>
  </conditionalFormatting>
  <conditionalFormatting sqref="H82:K82">
    <cfRule type="expression" dxfId="104" priority="14">
      <formula>$C$82=TRUE</formula>
    </cfRule>
  </conditionalFormatting>
  <conditionalFormatting sqref="H104:K104">
    <cfRule type="expression" dxfId="103" priority="13">
      <formula>$C$104=TRUE</formula>
    </cfRule>
  </conditionalFormatting>
  <conditionalFormatting sqref="H90:K90">
    <cfRule type="expression" dxfId="102" priority="12">
      <formula>$C$90=TRUE</formula>
    </cfRule>
  </conditionalFormatting>
  <conditionalFormatting sqref="H91:K91">
    <cfRule type="expression" dxfId="101" priority="11">
      <formula>$C$91=TRUE</formula>
    </cfRule>
  </conditionalFormatting>
  <conditionalFormatting sqref="H92:K92">
    <cfRule type="expression" dxfId="100" priority="10">
      <formula>$C$92=TRUE</formula>
    </cfRule>
  </conditionalFormatting>
  <conditionalFormatting sqref="H93:K93">
    <cfRule type="expression" dxfId="99" priority="9">
      <formula>$C$93=TRUE</formula>
    </cfRule>
  </conditionalFormatting>
  <conditionalFormatting sqref="H22:K22">
    <cfRule type="expression" dxfId="98" priority="8">
      <formula>$G$22=$V$9</formula>
    </cfRule>
  </conditionalFormatting>
  <conditionalFormatting sqref="H23:K23">
    <cfRule type="expression" dxfId="97" priority="7">
      <formula>$G$22=$V$8</formula>
    </cfRule>
  </conditionalFormatting>
  <conditionalFormatting sqref="H61:K62">
    <cfRule type="expression" dxfId="96" priority="6">
      <formula>$G$47&lt;&gt;$V$51</formula>
    </cfRule>
  </conditionalFormatting>
  <conditionalFormatting sqref="H59:K60">
    <cfRule type="expression" dxfId="95" priority="5">
      <formula>$G$47&lt;&gt;$V$50</formula>
    </cfRule>
  </conditionalFormatting>
  <conditionalFormatting sqref="H63:K63">
    <cfRule type="expression" dxfId="94" priority="4">
      <formula>$G$63=$V$64</formula>
    </cfRule>
  </conditionalFormatting>
  <conditionalFormatting sqref="H64:K64">
    <cfRule type="expression" dxfId="93" priority="3">
      <formula>$G$63=$V$63</formula>
    </cfRule>
  </conditionalFormatting>
  <conditionalFormatting sqref="H95:K95">
    <cfRule type="expression" dxfId="92" priority="2">
      <formula>$G$95=$V$96</formula>
    </cfRule>
  </conditionalFormatting>
  <conditionalFormatting sqref="H96:K96">
    <cfRule type="expression" dxfId="91" priority="1">
      <formula>$G$95=$V$95</formula>
    </cfRule>
  </conditionalFormatting>
  <dataValidations count="21">
    <dataValidation type="list" operator="lessThanOrEqual" allowBlank="1" showInputMessage="1" showErrorMessage="1" sqref="K33 K37">
      <formula1>$Y$7:$Y$9</formula1>
    </dataValidation>
    <dataValidation type="decimal" operator="lessThanOrEqual" allowBlank="1" showInputMessage="1" showErrorMessage="1" sqref="K112:K114 K123 K103:K105 K62:K64 K38:K43 K68:K73 K77:K82 K109:K110 K101 K27:K32 K34:K36 K86:K96 K48:K54 K56 K58 K60">
      <formula1>J27</formula1>
    </dataValidation>
    <dataValidation type="list" allowBlank="1" showInputMessage="1" showErrorMessage="1" promptTitle="Selection Required" prompt="Please indicate the project's desired pathway." sqref="G77:G82">
      <formula1>$V$77:$V$78</formula1>
    </dataValidation>
    <dataValidation type="list" allowBlank="1" showInputMessage="1" showErrorMessage="1" promptTitle="Selection Required" prompt="Please indicate the project's desired pathway." sqref="G68:G73">
      <formula1>$V$68:$V$69</formula1>
    </dataValidation>
    <dataValidation type="list" allowBlank="1" showInputMessage="1" showErrorMessage="1" sqref="G75">
      <formula1>$V$68:$V$69</formula1>
    </dataValidation>
    <dataValidation type="decimal" allowBlank="1" showInputMessage="1" showErrorMessage="1" sqref="K9:K17 K19 K7 K21">
      <formula1>0</formula1>
      <formula2>J7</formula2>
    </dataValidation>
    <dataValidation type="list" allowBlank="1" showInputMessage="1" showErrorMessage="1" sqref="G25">
      <formula1>$T$23:$T$23</formula1>
    </dataValidation>
    <dataValidation type="list" allowBlank="1" showInputMessage="1" showErrorMessage="1" sqref="G84">
      <formula1>$T$77:$T$78</formula1>
    </dataValidation>
    <dataValidation type="list" allowBlank="1" showInputMessage="1" showErrorMessage="1" sqref="K57 K18 K20 K102 K8 K47 K111 K100 K59 K55 K61">
      <formula1>$Y$7:$Y$9</formula1>
    </dataValidation>
    <dataValidation type="list" allowBlank="1" showInputMessage="1" showErrorMessage="1" sqref="Q118:Q122 Q7:Q23 Q27:Q43 Q47:Q64 Q68:Q73 Q77:Q82 Q86:Q96 Q100:Q105 Q109:Q114">
      <formula1>$X$9:$X$11</formula1>
    </dataValidation>
    <dataValidation type="list" allowBlank="1" showInputMessage="1" showErrorMessage="1" promptTitle="Selection Required" prompt="Please indicate the project's desired pathway." sqref="G86:G90">
      <formula1>$V$86:$V$87</formula1>
    </dataValidation>
    <dataValidation type="decimal" operator="lessThanOrEqual" allowBlank="1" showInputMessage="1" showErrorMessage="1" sqref="K118:K122">
      <formula1>10</formula1>
    </dataValidation>
    <dataValidation type="list" allowBlank="1" showInputMessage="1" showErrorMessage="1" sqref="P100:P105 P109:P114 P27:P43 P47:P64 P68:P73 P77:P82 P86:P96 P7:P23">
      <formula1>$W$9:$W$12</formula1>
    </dataValidation>
    <dataValidation type="list" allowBlank="1" showInputMessage="1" showErrorMessage="1" sqref="O118:P122">
      <formula1>$W$10</formula1>
    </dataValidation>
    <dataValidation type="list" allowBlank="1" showInputMessage="1" showErrorMessage="1" sqref="O109:O114 O27:O43 O47:O64 O68:O73 O77:O82 O86:O96 O100:O105 O7:O23">
      <formula1>$W$10:$W$12</formula1>
    </dataValidation>
    <dataValidation type="list" allowBlank="1" showInputMessage="1" showErrorMessage="1" promptTitle="Selection Required" prompt="Please indicate the project's desired pathway." sqref="G22:G23">
      <formula1>$V$8:$V$9</formula1>
    </dataValidation>
    <dataValidation type="list" allowBlank="1" showInputMessage="1" showErrorMessage="1" promptTitle="Selection Required" prompt="Please indicate the project's desired pathway." sqref="G47:G62">
      <formula1>$V$47:$V$51</formula1>
    </dataValidation>
    <dataValidation type="list" allowBlank="1" showInputMessage="1" showErrorMessage="1" promptTitle="Selection Required" prompt="Please indicate the project's desired pathway." sqref="G63:G64">
      <formula1>$V$63:$V$64</formula1>
    </dataValidation>
    <dataValidation type="list" allowBlank="1" showInputMessage="1" showErrorMessage="1" sqref="G66">
      <formula1>$V$63:$V$63</formula1>
    </dataValidation>
    <dataValidation type="decimal" operator="lessThanOrEqual" allowBlank="1" showInputMessage="1" showErrorMessage="1" sqref="K22:K23">
      <formula1>1</formula1>
    </dataValidation>
    <dataValidation type="list" allowBlank="1" showInputMessage="1" showErrorMessage="1" promptTitle="Selection Required" prompt="Please indicate the project's desired pathway." sqref="G95:G96">
      <formula1>$V$95:$V$96</formula1>
    </dataValidation>
  </dataValidations>
  <pageMargins left="0.70866141732283472" right="0.70866141732283472" top="0.74803149606299213" bottom="0.74803149606299213" header="0.31496062992125984" footer="0.31496062992125984"/>
  <pageSetup paperSize="9" scale="5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xdr:col>
                    <xdr:colOff>38100</xdr:colOff>
                    <xdr:row>27</xdr:row>
                    <xdr:rowOff>171450</xdr:rowOff>
                  </from>
                  <to>
                    <xdr:col>5</xdr:col>
                    <xdr:colOff>552450</xdr:colOff>
                    <xdr:row>27</xdr:row>
                    <xdr:rowOff>381000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4</xdr:col>
                    <xdr:colOff>38100</xdr:colOff>
                    <xdr:row>26</xdr:row>
                    <xdr:rowOff>180975</xdr:rowOff>
                  </from>
                  <to>
                    <xdr:col>5</xdr:col>
                    <xdr:colOff>552450</xdr:colOff>
                    <xdr:row>26</xdr:row>
                    <xdr:rowOff>390525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4</xdr:col>
                    <xdr:colOff>38100</xdr:colOff>
                    <xdr:row>28</xdr:row>
                    <xdr:rowOff>171450</xdr:rowOff>
                  </from>
                  <to>
                    <xdr:col>5</xdr:col>
                    <xdr:colOff>552450</xdr:colOff>
                    <xdr:row>28</xdr:row>
                    <xdr:rowOff>381000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4</xdr:col>
                    <xdr:colOff>38100</xdr:colOff>
                    <xdr:row>29</xdr:row>
                    <xdr:rowOff>171450</xdr:rowOff>
                  </from>
                  <to>
                    <xdr:col>5</xdr:col>
                    <xdr:colOff>552450</xdr:colOff>
                    <xdr:row>29</xdr:row>
                    <xdr:rowOff>381000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4</xdr:col>
                    <xdr:colOff>38100</xdr:colOff>
                    <xdr:row>30</xdr:row>
                    <xdr:rowOff>171450</xdr:rowOff>
                  </from>
                  <to>
                    <xdr:col>5</xdr:col>
                    <xdr:colOff>552450</xdr:colOff>
                    <xdr:row>30</xdr:row>
                    <xdr:rowOff>381000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4</xdr:col>
                    <xdr:colOff>38100</xdr:colOff>
                    <xdr:row>31</xdr:row>
                    <xdr:rowOff>171450</xdr:rowOff>
                  </from>
                  <to>
                    <xdr:col>5</xdr:col>
                    <xdr:colOff>552450</xdr:colOff>
                    <xdr:row>31</xdr:row>
                    <xdr:rowOff>381000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4</xdr:col>
                    <xdr:colOff>38100</xdr:colOff>
                    <xdr:row>33</xdr:row>
                    <xdr:rowOff>171450</xdr:rowOff>
                  </from>
                  <to>
                    <xdr:col>5</xdr:col>
                    <xdr:colOff>552450</xdr:colOff>
                    <xdr:row>33</xdr:row>
                    <xdr:rowOff>381000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4</xdr:col>
                    <xdr:colOff>38100</xdr:colOff>
                    <xdr:row>34</xdr:row>
                    <xdr:rowOff>171450</xdr:rowOff>
                  </from>
                  <to>
                    <xdr:col>5</xdr:col>
                    <xdr:colOff>552450</xdr:colOff>
                    <xdr:row>34</xdr:row>
                    <xdr:rowOff>381000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4</xdr:col>
                    <xdr:colOff>38100</xdr:colOff>
                    <xdr:row>35</xdr:row>
                    <xdr:rowOff>171450</xdr:rowOff>
                  </from>
                  <to>
                    <xdr:col>5</xdr:col>
                    <xdr:colOff>552450</xdr:colOff>
                    <xdr:row>35</xdr:row>
                    <xdr:rowOff>381000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4</xdr:col>
                    <xdr:colOff>38100</xdr:colOff>
                    <xdr:row>37</xdr:row>
                    <xdr:rowOff>171450</xdr:rowOff>
                  </from>
                  <to>
                    <xdr:col>5</xdr:col>
                    <xdr:colOff>552450</xdr:colOff>
                    <xdr:row>37</xdr:row>
                    <xdr:rowOff>381000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4</xdr:col>
                    <xdr:colOff>38100</xdr:colOff>
                    <xdr:row>38</xdr:row>
                    <xdr:rowOff>171450</xdr:rowOff>
                  </from>
                  <to>
                    <xdr:col>5</xdr:col>
                    <xdr:colOff>552450</xdr:colOff>
                    <xdr:row>38</xdr:row>
                    <xdr:rowOff>381000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4</xdr:col>
                    <xdr:colOff>38100</xdr:colOff>
                    <xdr:row>39</xdr:row>
                    <xdr:rowOff>171450</xdr:rowOff>
                  </from>
                  <to>
                    <xdr:col>5</xdr:col>
                    <xdr:colOff>552450</xdr:colOff>
                    <xdr:row>39</xdr:row>
                    <xdr:rowOff>381000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4</xdr:col>
                    <xdr:colOff>38100</xdr:colOff>
                    <xdr:row>40</xdr:row>
                    <xdr:rowOff>171450</xdr:rowOff>
                  </from>
                  <to>
                    <xdr:col>5</xdr:col>
                    <xdr:colOff>552450</xdr:colOff>
                    <xdr:row>40</xdr:row>
                    <xdr:rowOff>381000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4</xdr:col>
                    <xdr:colOff>38100</xdr:colOff>
                    <xdr:row>41</xdr:row>
                    <xdr:rowOff>171450</xdr:rowOff>
                  </from>
                  <to>
                    <xdr:col>5</xdr:col>
                    <xdr:colOff>552450</xdr:colOff>
                    <xdr:row>41</xdr:row>
                    <xdr:rowOff>381000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4</xdr:col>
                    <xdr:colOff>38100</xdr:colOff>
                    <xdr:row>42</xdr:row>
                    <xdr:rowOff>171450</xdr:rowOff>
                  </from>
                  <to>
                    <xdr:col>5</xdr:col>
                    <xdr:colOff>552450</xdr:colOff>
                    <xdr:row>42</xdr:row>
                    <xdr:rowOff>381000</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4</xdr:col>
                    <xdr:colOff>38100</xdr:colOff>
                    <xdr:row>69</xdr:row>
                    <xdr:rowOff>171450</xdr:rowOff>
                  </from>
                  <to>
                    <xdr:col>5</xdr:col>
                    <xdr:colOff>552450</xdr:colOff>
                    <xdr:row>69</xdr:row>
                    <xdr:rowOff>381000</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4</xdr:col>
                    <xdr:colOff>38100</xdr:colOff>
                    <xdr:row>70</xdr:row>
                    <xdr:rowOff>171450</xdr:rowOff>
                  </from>
                  <to>
                    <xdr:col>5</xdr:col>
                    <xdr:colOff>552450</xdr:colOff>
                    <xdr:row>70</xdr:row>
                    <xdr:rowOff>381000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4</xdr:col>
                    <xdr:colOff>38100</xdr:colOff>
                    <xdr:row>80</xdr:row>
                    <xdr:rowOff>171450</xdr:rowOff>
                  </from>
                  <to>
                    <xdr:col>5</xdr:col>
                    <xdr:colOff>552450</xdr:colOff>
                    <xdr:row>80</xdr:row>
                    <xdr:rowOff>381000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4</xdr:col>
                    <xdr:colOff>38100</xdr:colOff>
                    <xdr:row>81</xdr:row>
                    <xdr:rowOff>171450</xdr:rowOff>
                  </from>
                  <to>
                    <xdr:col>5</xdr:col>
                    <xdr:colOff>552450</xdr:colOff>
                    <xdr:row>81</xdr:row>
                    <xdr:rowOff>381000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4</xdr:col>
                    <xdr:colOff>38100</xdr:colOff>
                    <xdr:row>103</xdr:row>
                    <xdr:rowOff>171450</xdr:rowOff>
                  </from>
                  <to>
                    <xdr:col>5</xdr:col>
                    <xdr:colOff>552450</xdr:colOff>
                    <xdr:row>103</xdr:row>
                    <xdr:rowOff>381000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4</xdr:col>
                    <xdr:colOff>38100</xdr:colOff>
                    <xdr:row>90</xdr:row>
                    <xdr:rowOff>171450</xdr:rowOff>
                  </from>
                  <to>
                    <xdr:col>5</xdr:col>
                    <xdr:colOff>552450</xdr:colOff>
                    <xdr:row>90</xdr:row>
                    <xdr:rowOff>381000</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4</xdr:col>
                    <xdr:colOff>38100</xdr:colOff>
                    <xdr:row>91</xdr:row>
                    <xdr:rowOff>171450</xdr:rowOff>
                  </from>
                  <to>
                    <xdr:col>5</xdr:col>
                    <xdr:colOff>552450</xdr:colOff>
                    <xdr:row>91</xdr:row>
                    <xdr:rowOff>381000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4</xdr:col>
                    <xdr:colOff>38100</xdr:colOff>
                    <xdr:row>92</xdr:row>
                    <xdr:rowOff>171450</xdr:rowOff>
                  </from>
                  <to>
                    <xdr:col>5</xdr:col>
                    <xdr:colOff>552450</xdr:colOff>
                    <xdr:row>92</xdr:row>
                    <xdr:rowOff>381000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40"/>
  <sheetViews>
    <sheetView showGridLines="0" showRowColHeaders="0" zoomScale="70" zoomScaleNormal="70" workbookViewId="0">
      <pane ySplit="5" topLeftCell="A6" activePane="bottomLeft" state="frozen"/>
      <selection pane="bottomLeft" activeCell="K7" sqref="K7"/>
    </sheetView>
  </sheetViews>
  <sheetFormatPr defaultRowHeight="14.25" x14ac:dyDescent="0.2"/>
  <cols>
    <col min="1" max="3" width="9" style="189" hidden="1" customWidth="1"/>
    <col min="4" max="4" width="2.75" style="189" customWidth="1"/>
    <col min="5" max="5" width="4" style="189" customWidth="1"/>
    <col min="6" max="6" width="24" style="10" customWidth="1"/>
    <col min="7" max="7" width="47.875" style="10" customWidth="1"/>
    <col min="8" max="8" width="9.625" style="8" customWidth="1"/>
    <col min="9" max="9" width="42.875" style="10" customWidth="1"/>
    <col min="10" max="11" width="14" style="8" customWidth="1"/>
    <col min="12" max="12" width="14" style="11" customWidth="1"/>
    <col min="13" max="14" width="14" style="8" customWidth="1"/>
    <col min="15" max="16" width="14" style="8" hidden="1" customWidth="1"/>
    <col min="17" max="17" width="24" style="219" customWidth="1"/>
    <col min="18" max="18" width="9.25" style="11" customWidth="1"/>
    <col min="19" max="19" width="57.25" style="291" customWidth="1"/>
    <col min="20" max="20" width="9" style="11"/>
    <col min="21" max="21" width="9" style="11" customWidth="1"/>
    <col min="22" max="22" width="31.25" style="11" hidden="1" customWidth="1"/>
    <col min="23" max="23" width="9" style="11" hidden="1" customWidth="1"/>
    <col min="24" max="25" width="15.75" style="11" hidden="1" customWidth="1"/>
    <col min="26" max="26" width="9" style="11" hidden="1" customWidth="1"/>
    <col min="27" max="16384" width="9" style="11"/>
  </cols>
  <sheetData>
    <row r="1" spans="1:26" ht="43.5" customHeight="1" x14ac:dyDescent="0.7">
      <c r="A1" s="189" t="s">
        <v>71</v>
      </c>
      <c r="B1" s="189" t="s">
        <v>71</v>
      </c>
      <c r="C1" s="189" t="s">
        <v>71</v>
      </c>
      <c r="F1" s="361" t="s">
        <v>91</v>
      </c>
      <c r="G1" s="362"/>
      <c r="H1" s="362"/>
      <c r="I1" s="362"/>
      <c r="J1" s="6"/>
      <c r="K1" s="6"/>
      <c r="L1" s="7"/>
      <c r="O1" s="8" t="s">
        <v>71</v>
      </c>
      <c r="P1" s="8" t="s">
        <v>71</v>
      </c>
      <c r="Q1" s="214"/>
      <c r="R1" s="9"/>
      <c r="T1" s="9"/>
      <c r="V1" s="11" t="s">
        <v>71</v>
      </c>
      <c r="W1" s="11" t="s">
        <v>71</v>
      </c>
      <c r="X1" s="11" t="s">
        <v>71</v>
      </c>
      <c r="Y1" s="11" t="s">
        <v>71</v>
      </c>
    </row>
    <row r="2" spans="1:26" ht="37.5" customHeight="1" thickBot="1" x14ac:dyDescent="0.25">
      <c r="A2" s="205" t="s">
        <v>211</v>
      </c>
      <c r="B2" s="205" t="s">
        <v>212</v>
      </c>
      <c r="C2" s="206" t="s">
        <v>213</v>
      </c>
      <c r="F2" s="12" t="s">
        <v>92</v>
      </c>
      <c r="G2" s="363">
        <f>'Building Input Sheet'!C5</f>
        <v>0</v>
      </c>
      <c r="H2" s="364"/>
      <c r="I2" s="13"/>
      <c r="J2" s="14" t="s">
        <v>217</v>
      </c>
      <c r="K2" s="14" t="s">
        <v>218</v>
      </c>
      <c r="L2" s="15"/>
      <c r="M2" s="14" t="s">
        <v>105</v>
      </c>
      <c r="N2" s="14" t="s">
        <v>154</v>
      </c>
      <c r="O2" s="16"/>
      <c r="P2" s="16"/>
      <c r="Q2" s="215"/>
      <c r="R2" s="17"/>
      <c r="T2" s="18"/>
    </row>
    <row r="3" spans="1:26" ht="37.5" customHeight="1" thickBot="1" x14ac:dyDescent="0.25">
      <c r="F3" s="19" t="s">
        <v>153</v>
      </c>
      <c r="G3" s="365" t="str">
        <f>IF(K3&gt;=75,"6 Stars - World Excellence",IF(K3&gt;=60,"5 Star - Australian Excellence",IF(K3&gt;=45,"4 Star - Best Practice","")))</f>
        <v/>
      </c>
      <c r="H3" s="366"/>
      <c r="I3" s="20"/>
      <c r="J3" s="149">
        <f>J126</f>
        <v>100</v>
      </c>
      <c r="K3" s="150">
        <f>K129</f>
        <v>0</v>
      </c>
      <c r="L3" s="15"/>
      <c r="M3" s="212">
        <f>M126</f>
        <v>0</v>
      </c>
      <c r="N3" s="212">
        <f>N126</f>
        <v>0</v>
      </c>
      <c r="O3" s="21"/>
      <c r="P3" s="203" t="str">
        <f>IF(Q139&lt;=SUM(P135:P136),"",R139)</f>
        <v/>
      </c>
      <c r="Q3" s="216"/>
      <c r="R3" s="17"/>
      <c r="S3" s="292"/>
      <c r="T3" s="18"/>
    </row>
    <row r="4" spans="1:26" ht="37.5" customHeight="1" x14ac:dyDescent="0.2">
      <c r="G4" s="22"/>
      <c r="H4" s="23"/>
      <c r="I4" s="22"/>
      <c r="J4" s="23"/>
      <c r="K4" s="23"/>
      <c r="L4" s="15"/>
      <c r="M4" s="23"/>
      <c r="N4" s="23"/>
      <c r="O4" s="23"/>
      <c r="P4" s="23"/>
      <c r="Q4" s="217"/>
      <c r="R4" s="9"/>
      <c r="S4" s="293"/>
      <c r="T4" s="9"/>
    </row>
    <row r="5" spans="1:26" ht="45" customHeight="1" x14ac:dyDescent="0.2">
      <c r="E5" s="190" t="s">
        <v>173</v>
      </c>
      <c r="F5" s="24" t="s">
        <v>15</v>
      </c>
      <c r="G5" s="24" t="s">
        <v>65</v>
      </c>
      <c r="H5" s="14" t="s">
        <v>93</v>
      </c>
      <c r="I5" s="24" t="s">
        <v>16</v>
      </c>
      <c r="J5" s="14" t="s">
        <v>72</v>
      </c>
      <c r="K5" s="14" t="s">
        <v>17</v>
      </c>
      <c r="L5" s="25"/>
      <c r="M5" s="14" t="s">
        <v>151</v>
      </c>
      <c r="N5" s="14" t="s">
        <v>155</v>
      </c>
      <c r="O5" s="14" t="s">
        <v>226</v>
      </c>
      <c r="P5" s="14" t="s">
        <v>227</v>
      </c>
      <c r="Q5" s="218" t="s">
        <v>61</v>
      </c>
      <c r="R5" s="26"/>
      <c r="S5" s="253" t="s">
        <v>152</v>
      </c>
      <c r="T5" s="9"/>
    </row>
    <row r="6" spans="1:26" ht="45" customHeight="1" x14ac:dyDescent="0.2">
      <c r="F6" s="27" t="s">
        <v>0</v>
      </c>
      <c r="G6" s="28"/>
      <c r="H6" s="29"/>
      <c r="I6" s="28"/>
      <c r="J6" s="29">
        <f>14-SUM(B7:B23)</f>
        <v>14</v>
      </c>
      <c r="K6" s="29"/>
      <c r="L6" s="25"/>
      <c r="M6" s="14"/>
      <c r="N6" s="14"/>
      <c r="O6" s="14"/>
      <c r="P6" s="14"/>
      <c r="Q6" s="218"/>
      <c r="R6" s="26"/>
      <c r="S6" s="253"/>
      <c r="T6" s="9"/>
      <c r="X6" s="126"/>
      <c r="Y6" s="126"/>
      <c r="Z6" s="124"/>
    </row>
    <row r="7" spans="1:26" ht="45" customHeight="1" x14ac:dyDescent="0.2">
      <c r="F7" s="305" t="s">
        <v>19</v>
      </c>
      <c r="G7" s="306" t="s">
        <v>69</v>
      </c>
      <c r="H7" s="30">
        <v>1</v>
      </c>
      <c r="I7" s="309" t="s">
        <v>22</v>
      </c>
      <c r="J7" s="31">
        <v>1</v>
      </c>
      <c r="K7" s="32"/>
      <c r="L7" s="33"/>
      <c r="M7" s="34" t="str">
        <f>IF(OR(Q7=$X$9,Q7=$X$10),K7,"")</f>
        <v/>
      </c>
      <c r="N7" s="35" t="str">
        <f t="shared" ref="N7:N23" si="0">IF(Q7=$X$11,K7,"")</f>
        <v/>
      </c>
      <c r="O7" s="35"/>
      <c r="P7" s="35"/>
      <c r="Q7" s="239"/>
      <c r="R7" s="160"/>
      <c r="S7" s="294"/>
      <c r="T7" s="9"/>
      <c r="X7" s="126"/>
      <c r="Y7" s="126"/>
      <c r="Z7" s="124"/>
    </row>
    <row r="8" spans="1:26" ht="45" customHeight="1" x14ac:dyDescent="0.2">
      <c r="F8" s="327" t="s">
        <v>20</v>
      </c>
      <c r="G8" s="367" t="s">
        <v>66</v>
      </c>
      <c r="H8" s="37">
        <v>2</v>
      </c>
      <c r="I8" s="41" t="s">
        <v>184</v>
      </c>
      <c r="J8" s="38" t="s">
        <v>98</v>
      </c>
      <c r="K8" s="39"/>
      <c r="L8" s="33"/>
      <c r="M8" s="34" t="str">
        <f t="shared" ref="M8:M23" si="1">IF(OR(Q8=$X$9,Q8=$X$10),K8,"")</f>
        <v/>
      </c>
      <c r="N8" s="35" t="str">
        <f t="shared" si="0"/>
        <v/>
      </c>
      <c r="O8" s="35"/>
      <c r="P8" s="35"/>
      <c r="Q8" s="239"/>
      <c r="R8" s="160"/>
      <c r="S8" s="294"/>
      <c r="T8" s="9"/>
      <c r="V8" s="137" t="s">
        <v>122</v>
      </c>
      <c r="W8" s="137"/>
      <c r="X8" s="126"/>
      <c r="Y8" s="126" t="s">
        <v>119</v>
      </c>
      <c r="Z8" s="124"/>
    </row>
    <row r="9" spans="1:26" ht="45" customHeight="1" x14ac:dyDescent="0.2">
      <c r="F9" s="328"/>
      <c r="G9" s="368"/>
      <c r="H9" s="40">
        <v>2.1</v>
      </c>
      <c r="I9" s="41" t="s">
        <v>23</v>
      </c>
      <c r="J9" s="42">
        <v>1</v>
      </c>
      <c r="K9" s="32"/>
      <c r="L9" s="33" t="str">
        <f>IF(AND(K9&gt;0,$K$8&lt;&gt;$Y$8),"!","")</f>
        <v/>
      </c>
      <c r="M9" s="34" t="str">
        <f t="shared" si="1"/>
        <v/>
      </c>
      <c r="N9" s="35" t="str">
        <f t="shared" si="0"/>
        <v/>
      </c>
      <c r="O9" s="35"/>
      <c r="P9" s="35"/>
      <c r="Q9" s="239"/>
      <c r="R9" s="160"/>
      <c r="S9" s="294"/>
      <c r="T9" s="9"/>
      <c r="V9" s="137" t="s">
        <v>198</v>
      </c>
      <c r="W9" s="137" t="s">
        <v>231</v>
      </c>
      <c r="X9" s="126" t="s">
        <v>233</v>
      </c>
      <c r="Y9" s="126" t="s">
        <v>120</v>
      </c>
      <c r="Z9" s="124"/>
    </row>
    <row r="10" spans="1:26" ht="45" customHeight="1" x14ac:dyDescent="0.2">
      <c r="F10" s="328"/>
      <c r="G10" s="368"/>
      <c r="H10" s="40">
        <v>2.2000000000000002</v>
      </c>
      <c r="I10" s="41" t="s">
        <v>24</v>
      </c>
      <c r="J10" s="42">
        <v>1</v>
      </c>
      <c r="K10" s="32"/>
      <c r="L10" s="33" t="str">
        <f t="shared" ref="L10:L17" si="2">IF(AND(K10&gt;0,$K$8&lt;&gt;$Y$8),"!","")</f>
        <v/>
      </c>
      <c r="M10" s="34" t="str">
        <f t="shared" si="1"/>
        <v/>
      </c>
      <c r="N10" s="35" t="str">
        <f t="shared" si="0"/>
        <v/>
      </c>
      <c r="O10" s="35"/>
      <c r="P10" s="35"/>
      <c r="Q10" s="239"/>
      <c r="R10" s="160"/>
      <c r="S10" s="294"/>
      <c r="T10" s="9"/>
      <c r="W10" s="137" t="s">
        <v>228</v>
      </c>
      <c r="X10" s="126" t="s">
        <v>232</v>
      </c>
      <c r="Y10" s="124"/>
      <c r="Z10" s="124"/>
    </row>
    <row r="11" spans="1:26" ht="45" customHeight="1" x14ac:dyDescent="0.2">
      <c r="F11" s="328"/>
      <c r="G11" s="368"/>
      <c r="H11" s="40">
        <v>2.2999999999999998</v>
      </c>
      <c r="I11" s="41" t="s">
        <v>25</v>
      </c>
      <c r="J11" s="42">
        <v>1</v>
      </c>
      <c r="K11" s="32"/>
      <c r="L11" s="33" t="str">
        <f t="shared" si="2"/>
        <v/>
      </c>
      <c r="M11" s="34" t="str">
        <f t="shared" si="1"/>
        <v/>
      </c>
      <c r="N11" s="35" t="str">
        <f t="shared" si="0"/>
        <v/>
      </c>
      <c r="O11" s="35"/>
      <c r="P11" s="35"/>
      <c r="Q11" s="239"/>
      <c r="R11" s="160"/>
      <c r="S11" s="294"/>
      <c r="T11" s="9"/>
      <c r="W11" s="137" t="s">
        <v>229</v>
      </c>
      <c r="X11" s="126" t="s">
        <v>269</v>
      </c>
      <c r="Y11" s="124"/>
      <c r="Z11" s="124"/>
    </row>
    <row r="12" spans="1:26" ht="45" customHeight="1" x14ac:dyDescent="0.2">
      <c r="F12" s="328"/>
      <c r="G12" s="368"/>
      <c r="H12" s="40">
        <v>2.4</v>
      </c>
      <c r="I12" s="41" t="s">
        <v>26</v>
      </c>
      <c r="J12" s="42">
        <v>1</v>
      </c>
      <c r="K12" s="32"/>
      <c r="L12" s="33" t="str">
        <f t="shared" si="2"/>
        <v/>
      </c>
      <c r="M12" s="34" t="str">
        <f t="shared" si="1"/>
        <v/>
      </c>
      <c r="N12" s="35" t="str">
        <f t="shared" si="0"/>
        <v/>
      </c>
      <c r="O12" s="35"/>
      <c r="P12" s="35"/>
      <c r="Q12" s="239"/>
      <c r="R12" s="160"/>
      <c r="S12" s="294"/>
      <c r="T12" s="9"/>
      <c r="W12" s="137" t="s">
        <v>230</v>
      </c>
      <c r="X12" s="126"/>
      <c r="Y12" s="124"/>
      <c r="Z12" s="124"/>
    </row>
    <row r="13" spans="1:26" ht="45" customHeight="1" x14ac:dyDescent="0.2">
      <c r="F13" s="305" t="s">
        <v>53</v>
      </c>
      <c r="G13" s="306" t="s">
        <v>59</v>
      </c>
      <c r="H13" s="30">
        <v>3.1</v>
      </c>
      <c r="I13" s="309" t="s">
        <v>30</v>
      </c>
      <c r="J13" s="31">
        <v>2</v>
      </c>
      <c r="K13" s="32"/>
      <c r="L13" s="33" t="str">
        <f t="shared" si="2"/>
        <v/>
      </c>
      <c r="M13" s="34" t="str">
        <f t="shared" si="1"/>
        <v/>
      </c>
      <c r="N13" s="35" t="str">
        <f t="shared" si="0"/>
        <v/>
      </c>
      <c r="O13" s="35"/>
      <c r="P13" s="35"/>
      <c r="Q13" s="239"/>
      <c r="R13" s="160"/>
      <c r="S13" s="294"/>
      <c r="T13" s="9"/>
      <c r="X13" s="124"/>
      <c r="Y13" s="124"/>
      <c r="Z13" s="124"/>
    </row>
    <row r="14" spans="1:26" ht="45" customHeight="1" x14ac:dyDescent="0.2">
      <c r="F14" s="328" t="s">
        <v>55</v>
      </c>
      <c r="G14" s="356" t="s">
        <v>57</v>
      </c>
      <c r="H14" s="30">
        <v>4.0999999999999996</v>
      </c>
      <c r="I14" s="309" t="s">
        <v>27</v>
      </c>
      <c r="J14" s="31">
        <v>1</v>
      </c>
      <c r="K14" s="32"/>
      <c r="L14" s="33" t="str">
        <f t="shared" si="2"/>
        <v/>
      </c>
      <c r="M14" s="34" t="str">
        <f t="shared" si="1"/>
        <v/>
      </c>
      <c r="N14" s="35" t="str">
        <f t="shared" si="0"/>
        <v/>
      </c>
      <c r="O14" s="35"/>
      <c r="P14" s="35"/>
      <c r="Q14" s="239"/>
      <c r="R14" s="160"/>
      <c r="S14" s="294"/>
      <c r="T14" s="9"/>
      <c r="X14" s="124"/>
      <c r="Y14" s="124"/>
      <c r="Z14" s="124"/>
    </row>
    <row r="15" spans="1:26" ht="45" customHeight="1" x14ac:dyDescent="0.2">
      <c r="F15" s="328"/>
      <c r="G15" s="356"/>
      <c r="H15" s="30">
        <v>4.2</v>
      </c>
      <c r="I15" s="309" t="s">
        <v>28</v>
      </c>
      <c r="J15" s="31">
        <v>1</v>
      </c>
      <c r="K15" s="32"/>
      <c r="L15" s="33" t="str">
        <f t="shared" si="2"/>
        <v/>
      </c>
      <c r="M15" s="34" t="str">
        <f t="shared" si="1"/>
        <v/>
      </c>
      <c r="N15" s="35" t="str">
        <f t="shared" si="0"/>
        <v/>
      </c>
      <c r="O15" s="35"/>
      <c r="P15" s="35"/>
      <c r="Q15" s="239"/>
      <c r="R15" s="160"/>
      <c r="S15" s="294"/>
      <c r="T15" s="9"/>
      <c r="X15" s="124"/>
      <c r="Y15" s="124"/>
      <c r="Z15" s="124"/>
    </row>
    <row r="16" spans="1:26" ht="45" customHeight="1" x14ac:dyDescent="0.2">
      <c r="F16" s="328" t="s">
        <v>58</v>
      </c>
      <c r="G16" s="356" t="s">
        <v>67</v>
      </c>
      <c r="H16" s="30">
        <v>5.0999999999999996</v>
      </c>
      <c r="I16" s="309" t="s">
        <v>185</v>
      </c>
      <c r="J16" s="31">
        <v>1</v>
      </c>
      <c r="K16" s="32"/>
      <c r="L16" s="33" t="str">
        <f t="shared" si="2"/>
        <v/>
      </c>
      <c r="M16" s="34" t="str">
        <f t="shared" si="1"/>
        <v/>
      </c>
      <c r="N16" s="35" t="str">
        <f t="shared" si="0"/>
        <v/>
      </c>
      <c r="O16" s="35"/>
      <c r="P16" s="35"/>
      <c r="Q16" s="239"/>
      <c r="R16" s="160"/>
      <c r="S16" s="294"/>
      <c r="T16" s="9"/>
      <c r="X16" s="124"/>
      <c r="Y16" s="124"/>
      <c r="Z16" s="124"/>
    </row>
    <row r="17" spans="1:26" ht="45" customHeight="1" x14ac:dyDescent="0.2">
      <c r="F17" s="328"/>
      <c r="G17" s="356"/>
      <c r="H17" s="30">
        <v>5.2</v>
      </c>
      <c r="I17" s="309" t="s">
        <v>186</v>
      </c>
      <c r="J17" s="31">
        <v>1</v>
      </c>
      <c r="K17" s="32"/>
      <c r="L17" s="33" t="str">
        <f t="shared" si="2"/>
        <v/>
      </c>
      <c r="M17" s="34" t="str">
        <f t="shared" si="1"/>
        <v/>
      </c>
      <c r="N17" s="35" t="str">
        <f t="shared" si="0"/>
        <v/>
      </c>
      <c r="O17" s="35"/>
      <c r="P17" s="35"/>
      <c r="Q17" s="239"/>
      <c r="R17" s="160"/>
      <c r="S17" s="294"/>
      <c r="T17" s="9"/>
      <c r="X17" s="124"/>
      <c r="Y17" s="124"/>
      <c r="Z17" s="124"/>
    </row>
    <row r="18" spans="1:26" ht="45" customHeight="1" x14ac:dyDescent="0.2">
      <c r="F18" s="328" t="s">
        <v>56</v>
      </c>
      <c r="G18" s="356" t="s">
        <v>68</v>
      </c>
      <c r="H18" s="30">
        <v>6</v>
      </c>
      <c r="I18" s="309" t="s">
        <v>299</v>
      </c>
      <c r="J18" s="31" t="s">
        <v>98</v>
      </c>
      <c r="K18" s="39"/>
      <c r="L18" s="33"/>
      <c r="M18" s="34" t="str">
        <f t="shared" si="1"/>
        <v/>
      </c>
      <c r="N18" s="35" t="str">
        <f t="shared" si="0"/>
        <v/>
      </c>
      <c r="O18" s="35"/>
      <c r="P18" s="35"/>
      <c r="Q18" s="239"/>
      <c r="R18" s="160"/>
      <c r="S18" s="294"/>
      <c r="T18" s="9"/>
      <c r="X18" s="124"/>
      <c r="Y18" s="124"/>
      <c r="Z18" s="124"/>
    </row>
    <row r="19" spans="1:26" ht="45" customHeight="1" x14ac:dyDescent="0.2">
      <c r="F19" s="328"/>
      <c r="G19" s="356"/>
      <c r="H19" s="30">
        <v>6.1</v>
      </c>
      <c r="I19" s="309" t="s">
        <v>300</v>
      </c>
      <c r="J19" s="31">
        <v>1</v>
      </c>
      <c r="K19" s="32"/>
      <c r="L19" s="33" t="str">
        <f>IF(AND(K19&gt;0,$K$18&lt;&gt;$Y$8),"!","")</f>
        <v/>
      </c>
      <c r="M19" s="34" t="str">
        <f t="shared" si="1"/>
        <v/>
      </c>
      <c r="N19" s="35" t="str">
        <f t="shared" si="0"/>
        <v/>
      </c>
      <c r="O19" s="35"/>
      <c r="P19" s="35"/>
      <c r="Q19" s="239"/>
      <c r="R19" s="160"/>
      <c r="S19" s="294"/>
      <c r="T19" s="9"/>
      <c r="X19" s="124"/>
      <c r="Y19" s="124"/>
      <c r="Z19" s="124"/>
    </row>
    <row r="20" spans="1:26" ht="45" customHeight="1" x14ac:dyDescent="0.2">
      <c r="F20" s="328" t="s">
        <v>54</v>
      </c>
      <c r="G20" s="356" t="s">
        <v>157</v>
      </c>
      <c r="H20" s="30">
        <v>7</v>
      </c>
      <c r="I20" s="309" t="s">
        <v>29</v>
      </c>
      <c r="J20" s="43" t="s">
        <v>98</v>
      </c>
      <c r="K20" s="44"/>
      <c r="L20" s="33"/>
      <c r="M20" s="34" t="str">
        <f t="shared" si="1"/>
        <v/>
      </c>
      <c r="N20" s="35" t="str">
        <f t="shared" si="0"/>
        <v/>
      </c>
      <c r="O20" s="35"/>
      <c r="P20" s="35"/>
      <c r="Q20" s="239"/>
      <c r="R20" s="160"/>
      <c r="S20" s="294"/>
      <c r="T20" s="9"/>
      <c r="X20" s="124"/>
      <c r="Y20" s="124"/>
      <c r="Z20" s="124"/>
    </row>
    <row r="21" spans="1:26" ht="45" customHeight="1" x14ac:dyDescent="0.2">
      <c r="F21" s="328"/>
      <c r="G21" s="356"/>
      <c r="H21" s="30">
        <v>7.1</v>
      </c>
      <c r="I21" s="309" t="s">
        <v>158</v>
      </c>
      <c r="J21" s="43">
        <v>1</v>
      </c>
      <c r="K21" s="45"/>
      <c r="L21" s="33" t="str">
        <f>IF(AND(K21&gt;0,$K$20&lt;&gt;$Y$8),"!","")</f>
        <v/>
      </c>
      <c r="M21" s="34" t="str">
        <f t="shared" si="1"/>
        <v/>
      </c>
      <c r="N21" s="35" t="str">
        <f t="shared" si="0"/>
        <v/>
      </c>
      <c r="O21" s="35"/>
      <c r="P21" s="35"/>
      <c r="Q21" s="239"/>
      <c r="R21" s="160"/>
      <c r="S21" s="294"/>
      <c r="T21" s="9"/>
      <c r="X21" s="124"/>
      <c r="Y21" s="124"/>
      <c r="Z21" s="124"/>
    </row>
    <row r="22" spans="1:26" ht="45" customHeight="1" x14ac:dyDescent="0.2">
      <c r="F22" s="335" t="s">
        <v>60</v>
      </c>
      <c r="G22" s="341" t="s">
        <v>122</v>
      </c>
      <c r="H22" s="30" t="s">
        <v>276</v>
      </c>
      <c r="I22" s="309" t="s">
        <v>278</v>
      </c>
      <c r="J22" s="43">
        <f>IF(G22=V8,1,"-")</f>
        <v>1</v>
      </c>
      <c r="K22" s="45"/>
      <c r="L22" s="33" t="str">
        <f>IF(AND(K22&gt;0,G22="Prescriptive Pathway"),"!","")</f>
        <v/>
      </c>
      <c r="M22" s="34" t="str">
        <f t="shared" si="1"/>
        <v/>
      </c>
      <c r="N22" s="35" t="str">
        <f t="shared" si="0"/>
        <v/>
      </c>
      <c r="O22" s="35"/>
      <c r="P22" s="35"/>
      <c r="Q22" s="239"/>
      <c r="R22" s="160"/>
      <c r="S22" s="294"/>
      <c r="T22" s="9"/>
      <c r="X22" s="124"/>
      <c r="Y22" s="124"/>
      <c r="Z22" s="124"/>
    </row>
    <row r="23" spans="1:26" ht="45" customHeight="1" x14ac:dyDescent="0.2">
      <c r="F23" s="327"/>
      <c r="G23" s="342"/>
      <c r="H23" s="30" t="s">
        <v>277</v>
      </c>
      <c r="I23" s="309" t="s">
        <v>279</v>
      </c>
      <c r="J23" s="43" t="str">
        <f>IF(G22=V9,1,"-")</f>
        <v>-</v>
      </c>
      <c r="K23" s="45"/>
      <c r="L23" s="33" t="str">
        <f>IF(AND(K23&gt;0,G22="Performance Pathway"),"!","")</f>
        <v/>
      </c>
      <c r="M23" s="34" t="str">
        <f t="shared" si="1"/>
        <v/>
      </c>
      <c r="N23" s="35" t="str">
        <f t="shared" si="0"/>
        <v/>
      </c>
      <c r="O23" s="35"/>
      <c r="P23" s="35"/>
      <c r="Q23" s="239"/>
      <c r="R23" s="160"/>
      <c r="S23" s="294"/>
      <c r="T23" s="9"/>
    </row>
    <row r="24" spans="1:26" ht="37.5" customHeight="1" x14ac:dyDescent="0.2">
      <c r="F24" s="47" t="s">
        <v>70</v>
      </c>
      <c r="G24" s="47"/>
      <c r="H24" s="48"/>
      <c r="I24" s="47"/>
      <c r="J24" s="48">
        <f>SUM(J7:J23)</f>
        <v>14</v>
      </c>
      <c r="K24" s="48">
        <f>SUM(K7:K23)</f>
        <v>0</v>
      </c>
      <c r="L24" s="33" t="str">
        <f>IF(K24&gt;J24,"!","")</f>
        <v/>
      </c>
      <c r="M24" s="49">
        <f>SUM(M7:M23)</f>
        <v>0</v>
      </c>
      <c r="N24" s="49">
        <f>SUM(N7:N23)</f>
        <v>0</v>
      </c>
      <c r="O24" s="50"/>
      <c r="P24" s="50"/>
      <c r="Q24" s="222"/>
      <c r="R24" s="51"/>
      <c r="S24" s="295"/>
      <c r="T24" s="9"/>
    </row>
    <row r="25" spans="1:26" ht="45" customHeight="1" x14ac:dyDescent="0.2">
      <c r="F25" s="52"/>
      <c r="G25" s="53"/>
      <c r="H25" s="54"/>
      <c r="I25" s="55"/>
      <c r="J25" s="56"/>
      <c r="K25" s="57"/>
      <c r="L25" s="79"/>
      <c r="M25" s="57"/>
      <c r="N25" s="51"/>
      <c r="O25" s="51"/>
      <c r="P25" s="51"/>
      <c r="Q25" s="240"/>
      <c r="R25" s="36"/>
      <c r="S25" s="296"/>
      <c r="T25" s="9"/>
    </row>
    <row r="26" spans="1:26" ht="45" customHeight="1" x14ac:dyDescent="0.2">
      <c r="F26" s="359" t="s">
        <v>1</v>
      </c>
      <c r="G26" s="359"/>
      <c r="H26" s="359"/>
      <c r="I26" s="359"/>
      <c r="J26" s="204">
        <f>17-SUM(B27:B43)</f>
        <v>17</v>
      </c>
      <c r="K26" s="58"/>
      <c r="L26" s="33"/>
      <c r="M26" s="204"/>
      <c r="N26" s="204"/>
      <c r="O26" s="204"/>
      <c r="P26" s="204"/>
      <c r="Q26" s="223"/>
      <c r="R26" s="59"/>
      <c r="S26" s="297"/>
      <c r="T26" s="60"/>
    </row>
    <row r="27" spans="1:26" ht="45" customHeight="1" x14ac:dyDescent="0.2">
      <c r="A27" s="189">
        <v>1</v>
      </c>
      <c r="B27" s="189">
        <f>IF(C27=TRUE,A27,0)</f>
        <v>0</v>
      </c>
      <c r="C27" s="189" t="b">
        <v>0</v>
      </c>
      <c r="E27" s="191"/>
      <c r="F27" s="343" t="s">
        <v>301</v>
      </c>
      <c r="G27" s="360" t="s">
        <v>99</v>
      </c>
      <c r="H27" s="61">
        <v>9.1</v>
      </c>
      <c r="I27" s="62" t="s">
        <v>31</v>
      </c>
      <c r="J27" s="63">
        <f>IF(C27=FALSE,A27,0)</f>
        <v>1</v>
      </c>
      <c r="K27" s="64"/>
      <c r="L27" s="33"/>
      <c r="M27" s="34" t="str">
        <f>IF(OR(Q27=$X$9,Q27=$X$10),K27,"")</f>
        <v/>
      </c>
      <c r="N27" s="35" t="str">
        <f t="shared" ref="N27:N43" si="3">IF(Q27=$X$11,K27,"")</f>
        <v/>
      </c>
      <c r="O27" s="35"/>
      <c r="P27" s="35"/>
      <c r="Q27" s="239"/>
      <c r="R27" s="161"/>
      <c r="S27" s="294"/>
      <c r="T27" s="9"/>
    </row>
    <row r="28" spans="1:26" ht="45" customHeight="1" x14ac:dyDescent="0.2">
      <c r="A28" s="189">
        <v>2</v>
      </c>
      <c r="B28" s="189">
        <f t="shared" ref="B28:B43" si="4">IF(C28=TRUE,A28,0)</f>
        <v>0</v>
      </c>
      <c r="C28" s="189" t="b">
        <v>0</v>
      </c>
      <c r="F28" s="343"/>
      <c r="G28" s="360"/>
      <c r="H28" s="61">
        <v>9.1999999999999993</v>
      </c>
      <c r="I28" s="62" t="s">
        <v>187</v>
      </c>
      <c r="J28" s="63">
        <f t="shared" ref="J28:J43" si="5">IF(C28=FALSE,A28,0)</f>
        <v>2</v>
      </c>
      <c r="K28" s="64"/>
      <c r="L28" s="33"/>
      <c r="M28" s="34" t="str">
        <f t="shared" ref="M28:M43" si="6">IF(OR(Q28=$X$9,Q28=$X$10),K28,"")</f>
        <v/>
      </c>
      <c r="N28" s="35" t="str">
        <f t="shared" si="3"/>
        <v/>
      </c>
      <c r="O28" s="35"/>
      <c r="P28" s="35"/>
      <c r="Q28" s="238"/>
      <c r="R28" s="161"/>
      <c r="S28" s="294"/>
      <c r="T28" s="9"/>
    </row>
    <row r="29" spans="1:26" ht="45" customHeight="1" x14ac:dyDescent="0.2">
      <c r="A29" s="189">
        <v>1</v>
      </c>
      <c r="B29" s="189">
        <f t="shared" si="4"/>
        <v>0</v>
      </c>
      <c r="C29" s="189" t="b">
        <v>0</v>
      </c>
      <c r="F29" s="343"/>
      <c r="G29" s="360"/>
      <c r="H29" s="61">
        <v>9.3000000000000007</v>
      </c>
      <c r="I29" s="62" t="s">
        <v>163</v>
      </c>
      <c r="J29" s="63">
        <f t="shared" si="5"/>
        <v>1</v>
      </c>
      <c r="K29" s="64"/>
      <c r="L29" s="33"/>
      <c r="M29" s="34" t="str">
        <f t="shared" si="6"/>
        <v/>
      </c>
      <c r="N29" s="35" t="str">
        <f t="shared" si="3"/>
        <v/>
      </c>
      <c r="O29" s="35"/>
      <c r="P29" s="35"/>
      <c r="Q29" s="238"/>
      <c r="R29" s="161"/>
      <c r="S29" s="294"/>
      <c r="T29" s="9"/>
    </row>
    <row r="30" spans="1:26" ht="45" customHeight="1" x14ac:dyDescent="0.2">
      <c r="A30" s="189">
        <v>1</v>
      </c>
      <c r="B30" s="189">
        <f t="shared" si="4"/>
        <v>0</v>
      </c>
      <c r="C30" s="189" t="b">
        <v>0</v>
      </c>
      <c r="F30" s="343" t="s">
        <v>8</v>
      </c>
      <c r="G30" s="356" t="s">
        <v>100</v>
      </c>
      <c r="H30" s="61">
        <v>10.1</v>
      </c>
      <c r="I30" s="62" t="s">
        <v>50</v>
      </c>
      <c r="J30" s="63">
        <f t="shared" si="5"/>
        <v>1</v>
      </c>
      <c r="K30" s="64"/>
      <c r="L30" s="33"/>
      <c r="M30" s="34" t="str">
        <f t="shared" si="6"/>
        <v/>
      </c>
      <c r="N30" s="35" t="str">
        <f t="shared" si="3"/>
        <v/>
      </c>
      <c r="O30" s="35"/>
      <c r="P30" s="35"/>
      <c r="Q30" s="238"/>
      <c r="R30" s="161"/>
      <c r="S30" s="294"/>
      <c r="T30" s="9"/>
    </row>
    <row r="31" spans="1:26" ht="45" customHeight="1" x14ac:dyDescent="0.2">
      <c r="A31" s="189">
        <v>1</v>
      </c>
      <c r="B31" s="189">
        <f t="shared" si="4"/>
        <v>0</v>
      </c>
      <c r="C31" s="189" t="b">
        <v>0</v>
      </c>
      <c r="F31" s="343"/>
      <c r="G31" s="356"/>
      <c r="H31" s="61">
        <v>10.199999999999999</v>
      </c>
      <c r="I31" s="62" t="s">
        <v>52</v>
      </c>
      <c r="J31" s="63">
        <f t="shared" si="5"/>
        <v>1</v>
      </c>
      <c r="K31" s="64"/>
      <c r="L31" s="33"/>
      <c r="M31" s="34" t="str">
        <f t="shared" si="6"/>
        <v/>
      </c>
      <c r="N31" s="35" t="str">
        <f t="shared" si="3"/>
        <v/>
      </c>
      <c r="O31" s="35"/>
      <c r="P31" s="35"/>
      <c r="Q31" s="238"/>
      <c r="R31" s="161"/>
      <c r="S31" s="294"/>
      <c r="T31" s="9"/>
    </row>
    <row r="32" spans="1:26" ht="45" customHeight="1" x14ac:dyDescent="0.2">
      <c r="A32" s="189">
        <v>1</v>
      </c>
      <c r="B32" s="189">
        <f t="shared" si="4"/>
        <v>0</v>
      </c>
      <c r="C32" s="189" t="b">
        <v>0</v>
      </c>
      <c r="F32" s="343"/>
      <c r="G32" s="356"/>
      <c r="H32" s="61">
        <v>10.3</v>
      </c>
      <c r="I32" s="62" t="s">
        <v>308</v>
      </c>
      <c r="J32" s="63">
        <f t="shared" si="5"/>
        <v>1</v>
      </c>
      <c r="K32" s="64"/>
      <c r="L32" s="33"/>
      <c r="M32" s="34" t="str">
        <f t="shared" si="6"/>
        <v/>
      </c>
      <c r="N32" s="35" t="str">
        <f t="shared" si="3"/>
        <v/>
      </c>
      <c r="O32" s="35"/>
      <c r="P32" s="35"/>
      <c r="Q32" s="238"/>
      <c r="R32" s="161"/>
      <c r="S32" s="294"/>
      <c r="T32" s="9"/>
    </row>
    <row r="33" spans="1:22" ht="45" customHeight="1" x14ac:dyDescent="0.2">
      <c r="F33" s="343" t="s">
        <v>7</v>
      </c>
      <c r="G33" s="356" t="s">
        <v>101</v>
      </c>
      <c r="H33" s="30">
        <v>11</v>
      </c>
      <c r="I33" s="66" t="s">
        <v>43</v>
      </c>
      <c r="J33" s="63" t="s">
        <v>98</v>
      </c>
      <c r="K33" s="64"/>
      <c r="L33" s="33"/>
      <c r="M33" s="34" t="str">
        <f t="shared" si="6"/>
        <v/>
      </c>
      <c r="N33" s="35" t="str">
        <f t="shared" si="3"/>
        <v/>
      </c>
      <c r="O33" s="35"/>
      <c r="P33" s="35"/>
      <c r="Q33" s="238"/>
      <c r="R33" s="161"/>
      <c r="S33" s="294"/>
      <c r="T33" s="9"/>
    </row>
    <row r="34" spans="1:22" ht="45" customHeight="1" x14ac:dyDescent="0.2">
      <c r="A34" s="189">
        <v>1</v>
      </c>
      <c r="B34" s="189">
        <f t="shared" si="4"/>
        <v>0</v>
      </c>
      <c r="C34" s="189" t="b">
        <v>0</v>
      </c>
      <c r="F34" s="343"/>
      <c r="G34" s="356"/>
      <c r="H34" s="61">
        <v>11.1</v>
      </c>
      <c r="I34" s="62" t="s">
        <v>32</v>
      </c>
      <c r="J34" s="63">
        <f t="shared" si="5"/>
        <v>1</v>
      </c>
      <c r="K34" s="64"/>
      <c r="L34" s="33" t="str">
        <f>IF(AND(K34&gt;0,$K$33&lt;&gt;$Y$8),"!","")</f>
        <v/>
      </c>
      <c r="M34" s="34" t="str">
        <f t="shared" si="6"/>
        <v/>
      </c>
      <c r="N34" s="35" t="str">
        <f t="shared" si="3"/>
        <v/>
      </c>
      <c r="O34" s="35"/>
      <c r="P34" s="35"/>
      <c r="Q34" s="238"/>
      <c r="R34" s="161"/>
      <c r="S34" s="294"/>
      <c r="T34" s="9"/>
    </row>
    <row r="35" spans="1:22" ht="45" customHeight="1" x14ac:dyDescent="0.2">
      <c r="A35" s="189">
        <v>1</v>
      </c>
      <c r="B35" s="189">
        <f t="shared" si="4"/>
        <v>0</v>
      </c>
      <c r="C35" s="189" t="b">
        <v>0</v>
      </c>
      <c r="F35" s="343"/>
      <c r="G35" s="356"/>
      <c r="H35" s="61">
        <v>11.2</v>
      </c>
      <c r="I35" s="62" t="s">
        <v>62</v>
      </c>
      <c r="J35" s="63">
        <f t="shared" si="5"/>
        <v>1</v>
      </c>
      <c r="K35" s="64"/>
      <c r="L35" s="33" t="str">
        <f>IF(AND(K35&gt;0,$K$33&lt;&gt;$Y$8),"!","")</f>
        <v/>
      </c>
      <c r="M35" s="34" t="str">
        <f t="shared" si="6"/>
        <v/>
      </c>
      <c r="N35" s="35" t="str">
        <f t="shared" si="3"/>
        <v/>
      </c>
      <c r="O35" s="35"/>
      <c r="P35" s="35"/>
      <c r="Q35" s="238"/>
      <c r="R35" s="161"/>
      <c r="S35" s="294"/>
      <c r="T35" s="9"/>
    </row>
    <row r="36" spans="1:22" ht="45" customHeight="1" x14ac:dyDescent="0.2">
      <c r="A36" s="189">
        <v>1</v>
      </c>
      <c r="B36" s="189">
        <f t="shared" si="4"/>
        <v>0</v>
      </c>
      <c r="C36" s="189" t="b">
        <v>0</v>
      </c>
      <c r="F36" s="343"/>
      <c r="G36" s="356"/>
      <c r="H36" s="61">
        <v>11.3</v>
      </c>
      <c r="I36" s="62" t="s">
        <v>188</v>
      </c>
      <c r="J36" s="63">
        <f t="shared" si="5"/>
        <v>1</v>
      </c>
      <c r="K36" s="64"/>
      <c r="L36" s="33" t="str">
        <f>IF(AND(K36&gt;0,$K$33&lt;&gt;$Y$8),"!","")</f>
        <v/>
      </c>
      <c r="M36" s="34" t="str">
        <f t="shared" si="6"/>
        <v/>
      </c>
      <c r="N36" s="35" t="str">
        <f t="shared" si="3"/>
        <v/>
      </c>
      <c r="O36" s="35"/>
      <c r="P36" s="35"/>
      <c r="Q36" s="238"/>
      <c r="R36" s="161"/>
      <c r="S36" s="294"/>
      <c r="T36" s="9"/>
    </row>
    <row r="37" spans="1:22" ht="45" customHeight="1" x14ac:dyDescent="0.2">
      <c r="F37" s="343" t="s">
        <v>21</v>
      </c>
      <c r="G37" s="356" t="s">
        <v>102</v>
      </c>
      <c r="H37" s="61">
        <v>12</v>
      </c>
      <c r="I37" s="62" t="s">
        <v>33</v>
      </c>
      <c r="J37" s="63" t="s">
        <v>98</v>
      </c>
      <c r="K37" s="64"/>
      <c r="L37" s="33"/>
      <c r="M37" s="34" t="str">
        <f t="shared" si="6"/>
        <v/>
      </c>
      <c r="N37" s="35" t="str">
        <f t="shared" si="3"/>
        <v/>
      </c>
      <c r="O37" s="35"/>
      <c r="P37" s="35"/>
      <c r="Q37" s="238"/>
      <c r="R37" s="161"/>
      <c r="S37" s="294"/>
      <c r="T37" s="9"/>
    </row>
    <row r="38" spans="1:22" ht="45" customHeight="1" x14ac:dyDescent="0.2">
      <c r="A38" s="189">
        <v>2</v>
      </c>
      <c r="B38" s="189">
        <f t="shared" si="4"/>
        <v>0</v>
      </c>
      <c r="C38" s="189" t="b">
        <v>0</v>
      </c>
      <c r="F38" s="343"/>
      <c r="G38" s="356"/>
      <c r="H38" s="61">
        <v>12.1</v>
      </c>
      <c r="I38" s="62" t="s">
        <v>34</v>
      </c>
      <c r="J38" s="63">
        <f t="shared" si="5"/>
        <v>2</v>
      </c>
      <c r="K38" s="64"/>
      <c r="L38" s="33" t="str">
        <f>IF(AND(K38&gt;0,$K$37&lt;&gt;$Y$8),"!","")</f>
        <v/>
      </c>
      <c r="M38" s="34" t="str">
        <f t="shared" si="6"/>
        <v/>
      </c>
      <c r="N38" s="35" t="str">
        <f t="shared" si="3"/>
        <v/>
      </c>
      <c r="O38" s="35"/>
      <c r="P38" s="35"/>
      <c r="Q38" s="238"/>
      <c r="R38" s="161"/>
      <c r="S38" s="294"/>
      <c r="T38" s="9"/>
    </row>
    <row r="39" spans="1:22" ht="45" customHeight="1" x14ac:dyDescent="0.2">
      <c r="A39" s="189">
        <v>1</v>
      </c>
      <c r="B39" s="189">
        <f t="shared" si="4"/>
        <v>0</v>
      </c>
      <c r="C39" s="189" t="b">
        <v>0</v>
      </c>
      <c r="F39" s="343"/>
      <c r="G39" s="356"/>
      <c r="H39" s="61">
        <v>12.2</v>
      </c>
      <c r="I39" s="62" t="s">
        <v>35</v>
      </c>
      <c r="J39" s="63">
        <f t="shared" si="5"/>
        <v>1</v>
      </c>
      <c r="K39" s="64"/>
      <c r="L39" s="33" t="str">
        <f>IF(AND(K39&gt;0,$K$37&lt;&gt;$Y$8),"!","")</f>
        <v/>
      </c>
      <c r="M39" s="34" t="str">
        <f t="shared" si="6"/>
        <v/>
      </c>
      <c r="N39" s="35" t="str">
        <f t="shared" si="3"/>
        <v/>
      </c>
      <c r="O39" s="35"/>
      <c r="P39" s="35"/>
      <c r="Q39" s="238"/>
      <c r="R39" s="161"/>
      <c r="S39" s="294"/>
      <c r="T39" s="9"/>
    </row>
    <row r="40" spans="1:22" ht="45" customHeight="1" x14ac:dyDescent="0.2">
      <c r="A40" s="189">
        <v>1</v>
      </c>
      <c r="B40" s="189">
        <f t="shared" si="4"/>
        <v>0</v>
      </c>
      <c r="C40" s="189" t="b">
        <v>0</v>
      </c>
      <c r="F40" s="343" t="s">
        <v>219</v>
      </c>
      <c r="G40" s="356" t="s">
        <v>103</v>
      </c>
      <c r="H40" s="61">
        <v>13.1</v>
      </c>
      <c r="I40" s="62" t="s">
        <v>180</v>
      </c>
      <c r="J40" s="63">
        <f t="shared" si="5"/>
        <v>1</v>
      </c>
      <c r="K40" s="64"/>
      <c r="L40" s="33"/>
      <c r="M40" s="34" t="str">
        <f t="shared" si="6"/>
        <v/>
      </c>
      <c r="N40" s="35" t="str">
        <f t="shared" si="3"/>
        <v/>
      </c>
      <c r="O40" s="35"/>
      <c r="P40" s="35"/>
      <c r="Q40" s="238"/>
      <c r="R40" s="161"/>
      <c r="S40" s="294"/>
      <c r="T40" s="9"/>
    </row>
    <row r="41" spans="1:22" ht="45" customHeight="1" x14ac:dyDescent="0.2">
      <c r="A41" s="189">
        <v>1</v>
      </c>
      <c r="B41" s="189">
        <f t="shared" si="4"/>
        <v>0</v>
      </c>
      <c r="C41" s="189" t="b">
        <v>0</v>
      </c>
      <c r="F41" s="343"/>
      <c r="G41" s="356"/>
      <c r="H41" s="61">
        <v>13.2</v>
      </c>
      <c r="I41" s="62" t="s">
        <v>181</v>
      </c>
      <c r="J41" s="63">
        <f t="shared" si="5"/>
        <v>1</v>
      </c>
      <c r="K41" s="64"/>
      <c r="L41" s="33"/>
      <c r="M41" s="34" t="str">
        <f t="shared" si="6"/>
        <v/>
      </c>
      <c r="N41" s="35" t="str">
        <f t="shared" si="3"/>
        <v/>
      </c>
      <c r="O41" s="35"/>
      <c r="P41" s="35"/>
      <c r="Q41" s="238"/>
      <c r="R41" s="161"/>
      <c r="S41" s="294"/>
      <c r="T41" s="9"/>
    </row>
    <row r="42" spans="1:22" ht="45" customHeight="1" x14ac:dyDescent="0.2">
      <c r="A42" s="189">
        <v>1</v>
      </c>
      <c r="B42" s="189">
        <f t="shared" si="4"/>
        <v>0</v>
      </c>
      <c r="C42" s="189" t="b">
        <v>0</v>
      </c>
      <c r="F42" s="343" t="s">
        <v>9</v>
      </c>
      <c r="G42" s="356" t="s">
        <v>104</v>
      </c>
      <c r="H42" s="61">
        <v>14.1</v>
      </c>
      <c r="I42" s="62" t="s">
        <v>9</v>
      </c>
      <c r="J42" s="63">
        <f t="shared" si="5"/>
        <v>1</v>
      </c>
      <c r="K42" s="64"/>
      <c r="L42" s="33"/>
      <c r="M42" s="34" t="str">
        <f t="shared" si="6"/>
        <v/>
      </c>
      <c r="N42" s="35" t="str">
        <f t="shared" si="3"/>
        <v/>
      </c>
      <c r="O42" s="35"/>
      <c r="P42" s="35"/>
      <c r="Q42" s="238"/>
      <c r="R42" s="161"/>
      <c r="S42" s="294"/>
      <c r="T42" s="9"/>
    </row>
    <row r="43" spans="1:22" ht="45" customHeight="1" x14ac:dyDescent="0.2">
      <c r="A43" s="189">
        <v>1</v>
      </c>
      <c r="B43" s="189">
        <f t="shared" si="4"/>
        <v>0</v>
      </c>
      <c r="C43" s="189" t="b">
        <v>0</v>
      </c>
      <c r="F43" s="344"/>
      <c r="G43" s="331"/>
      <c r="H43" s="61">
        <v>14.2</v>
      </c>
      <c r="I43" s="62" t="s">
        <v>51</v>
      </c>
      <c r="J43" s="63">
        <f t="shared" si="5"/>
        <v>1</v>
      </c>
      <c r="K43" s="64"/>
      <c r="L43" s="33"/>
      <c r="M43" s="34" t="str">
        <f t="shared" si="6"/>
        <v/>
      </c>
      <c r="N43" s="35" t="str">
        <f t="shared" si="3"/>
        <v/>
      </c>
      <c r="O43" s="35"/>
      <c r="P43" s="35"/>
      <c r="Q43" s="238"/>
      <c r="R43" s="161"/>
      <c r="S43" s="294"/>
      <c r="T43" s="9"/>
    </row>
    <row r="44" spans="1:22" ht="45" customHeight="1" x14ac:dyDescent="0.2">
      <c r="F44" s="47" t="s">
        <v>70</v>
      </c>
      <c r="G44" s="47"/>
      <c r="H44" s="48"/>
      <c r="I44" s="47"/>
      <c r="J44" s="48">
        <f>SUM(J27:J43)</f>
        <v>17</v>
      </c>
      <c r="K44" s="48">
        <f>SUM(K27:K43)</f>
        <v>0</v>
      </c>
      <c r="L44" s="33" t="str">
        <f>IF(K44&gt;J44,"!","")</f>
        <v/>
      </c>
      <c r="M44" s="49">
        <f t="shared" ref="M44:N44" si="7">SUM(M27:M43)</f>
        <v>0</v>
      </c>
      <c r="N44" s="49">
        <f t="shared" si="7"/>
        <v>0</v>
      </c>
      <c r="O44" s="51"/>
      <c r="P44" s="51"/>
      <c r="Q44" s="240"/>
      <c r="R44" s="65"/>
      <c r="S44" s="298"/>
      <c r="T44" s="9"/>
    </row>
    <row r="45" spans="1:22" ht="45" customHeight="1" x14ac:dyDescent="0.2">
      <c r="F45" s="70"/>
      <c r="G45" s="70"/>
      <c r="H45" s="6"/>
      <c r="I45" s="70"/>
      <c r="J45" s="6"/>
      <c r="K45" s="6"/>
      <c r="L45" s="71"/>
      <c r="M45" s="6"/>
      <c r="N45" s="6"/>
      <c r="O45" s="6"/>
      <c r="P45" s="6"/>
      <c r="Q45" s="241"/>
      <c r="R45" s="65"/>
      <c r="S45" s="298"/>
      <c r="T45" s="9"/>
    </row>
    <row r="46" spans="1:22" ht="45" customHeight="1" x14ac:dyDescent="0.2">
      <c r="F46" s="333" t="s">
        <v>2</v>
      </c>
      <c r="G46" s="333"/>
      <c r="H46" s="333"/>
      <c r="I46" s="333"/>
      <c r="J46" s="58">
        <f>22-SUM(B47:B64)</f>
        <v>22</v>
      </c>
      <c r="K46" s="58"/>
      <c r="L46" s="72"/>
      <c r="M46" s="194"/>
      <c r="N46" s="194"/>
      <c r="O46" s="194"/>
      <c r="P46" s="194"/>
      <c r="Q46" s="223"/>
      <c r="R46" s="213"/>
      <c r="S46" s="299"/>
      <c r="T46" s="73"/>
    </row>
    <row r="47" spans="1:22" ht="45" customHeight="1" x14ac:dyDescent="0.2">
      <c r="F47" s="347" t="s">
        <v>94</v>
      </c>
      <c r="G47" s="357" t="s">
        <v>282</v>
      </c>
      <c r="H47" s="196" t="s">
        <v>234</v>
      </c>
      <c r="I47" s="131" t="s">
        <v>97</v>
      </c>
      <c r="J47" s="130" t="s">
        <v>98</v>
      </c>
      <c r="K47" s="99"/>
      <c r="L47" s="355" t="str">
        <f>IF(SUM(K48:K54)&gt;5,"Error: the total number of available points for the 'Prescriptive Pathway' is 5. Please enter a points score less than or equal to 5.","")</f>
        <v/>
      </c>
      <c r="M47" s="34" t="str">
        <f>IF(OR(Q47=$X$9,Q47=$X$10),K47,"")</f>
        <v/>
      </c>
      <c r="N47" s="35" t="str">
        <f t="shared" ref="N47:N64" si="8">IF(Q47=$X$11,K47,"")</f>
        <v/>
      </c>
      <c r="O47" s="35"/>
      <c r="P47" s="35"/>
      <c r="Q47" s="239"/>
      <c r="R47" s="161"/>
      <c r="S47" s="294"/>
      <c r="T47" s="9"/>
      <c r="V47" s="11" t="s">
        <v>189</v>
      </c>
    </row>
    <row r="48" spans="1:22" ht="45" customHeight="1" x14ac:dyDescent="0.2">
      <c r="F48" s="348"/>
      <c r="G48" s="350"/>
      <c r="H48" s="197" t="s">
        <v>235</v>
      </c>
      <c r="I48" s="133" t="s">
        <v>191</v>
      </c>
      <c r="J48" s="132" t="str">
        <f>IF($G$47=$V$47,1,"-")</f>
        <v>-</v>
      </c>
      <c r="K48" s="77"/>
      <c r="L48" s="355"/>
      <c r="M48" s="34" t="str">
        <f t="shared" ref="M48:M64" si="9">IF(OR(Q48=$X$9,Q48=$X$10),K48,"")</f>
        <v/>
      </c>
      <c r="N48" s="35" t="str">
        <f t="shared" si="8"/>
        <v/>
      </c>
      <c r="O48" s="35"/>
      <c r="P48" s="35"/>
      <c r="Q48" s="238"/>
      <c r="R48" s="161"/>
      <c r="S48" s="294"/>
      <c r="T48" s="9"/>
      <c r="V48" s="11" t="s">
        <v>190</v>
      </c>
    </row>
    <row r="49" spans="6:22" ht="45" customHeight="1" x14ac:dyDescent="0.2">
      <c r="F49" s="348"/>
      <c r="G49" s="350"/>
      <c r="H49" s="197" t="s">
        <v>236</v>
      </c>
      <c r="I49" s="133" t="s">
        <v>192</v>
      </c>
      <c r="J49" s="132" t="str">
        <f t="shared" ref="J49:J52" si="10">IF($G$47=$V$47,1,"-")</f>
        <v>-</v>
      </c>
      <c r="K49" s="77"/>
      <c r="L49" s="355"/>
      <c r="M49" s="34" t="str">
        <f t="shared" si="9"/>
        <v/>
      </c>
      <c r="N49" s="35" t="str">
        <f t="shared" si="8"/>
        <v/>
      </c>
      <c r="O49" s="35"/>
      <c r="P49" s="35"/>
      <c r="Q49" s="238"/>
      <c r="R49" s="161"/>
      <c r="S49" s="294"/>
      <c r="T49" s="9"/>
      <c r="V49" s="11" t="s">
        <v>281</v>
      </c>
    </row>
    <row r="50" spans="6:22" ht="45" customHeight="1" x14ac:dyDescent="0.2">
      <c r="F50" s="348"/>
      <c r="G50" s="350"/>
      <c r="H50" s="197" t="s">
        <v>237</v>
      </c>
      <c r="I50" s="133" t="s">
        <v>193</v>
      </c>
      <c r="J50" s="132" t="str">
        <f t="shared" si="10"/>
        <v>-</v>
      </c>
      <c r="K50" s="77"/>
      <c r="L50" s="355"/>
      <c r="M50" s="34" t="str">
        <f t="shared" si="9"/>
        <v/>
      </c>
      <c r="N50" s="35" t="str">
        <f t="shared" si="8"/>
        <v/>
      </c>
      <c r="O50" s="35"/>
      <c r="P50" s="35"/>
      <c r="Q50" s="238"/>
      <c r="R50" s="161"/>
      <c r="S50" s="294"/>
      <c r="T50" s="9"/>
      <c r="V50" s="11" t="s">
        <v>283</v>
      </c>
    </row>
    <row r="51" spans="6:22" ht="45" customHeight="1" x14ac:dyDescent="0.2">
      <c r="F51" s="348"/>
      <c r="G51" s="350"/>
      <c r="H51" s="197" t="s">
        <v>238</v>
      </c>
      <c r="I51" s="207" t="s">
        <v>302</v>
      </c>
      <c r="J51" s="132" t="str">
        <f t="shared" si="10"/>
        <v>-</v>
      </c>
      <c r="K51" s="77"/>
      <c r="L51" s="355"/>
      <c r="M51" s="34" t="str">
        <f t="shared" si="9"/>
        <v/>
      </c>
      <c r="N51" s="35" t="str">
        <f t="shared" si="8"/>
        <v/>
      </c>
      <c r="O51" s="35"/>
      <c r="P51" s="35"/>
      <c r="Q51" s="238"/>
      <c r="R51" s="161"/>
      <c r="S51" s="294"/>
      <c r="T51" s="9"/>
      <c r="V51" s="11" t="s">
        <v>282</v>
      </c>
    </row>
    <row r="52" spans="6:22" ht="45" customHeight="1" x14ac:dyDescent="0.2">
      <c r="F52" s="348"/>
      <c r="G52" s="350"/>
      <c r="H52" s="197" t="s">
        <v>239</v>
      </c>
      <c r="I52" s="133" t="s">
        <v>195</v>
      </c>
      <c r="J52" s="132" t="str">
        <f t="shared" si="10"/>
        <v>-</v>
      </c>
      <c r="K52" s="77"/>
      <c r="L52" s="355"/>
      <c r="M52" s="34" t="str">
        <f t="shared" si="9"/>
        <v/>
      </c>
      <c r="N52" s="35" t="str">
        <f t="shared" si="8"/>
        <v/>
      </c>
      <c r="O52" s="35"/>
      <c r="P52" s="35"/>
      <c r="Q52" s="238"/>
      <c r="R52" s="161"/>
      <c r="S52" s="294"/>
      <c r="T52" s="9"/>
    </row>
    <row r="53" spans="6:22" ht="45" customHeight="1" x14ac:dyDescent="0.2">
      <c r="F53" s="348"/>
      <c r="G53" s="350"/>
      <c r="H53" s="197" t="s">
        <v>240</v>
      </c>
      <c r="I53" s="207" t="s">
        <v>194</v>
      </c>
      <c r="J53" s="132" t="str">
        <f>IF($G$47=$V$47,1,"-")</f>
        <v>-</v>
      </c>
      <c r="K53" s="77"/>
      <c r="L53" s="355"/>
      <c r="M53" s="34" t="str">
        <f t="shared" si="9"/>
        <v/>
      </c>
      <c r="N53" s="35" t="str">
        <f t="shared" si="8"/>
        <v/>
      </c>
      <c r="O53" s="35"/>
      <c r="P53" s="35"/>
      <c r="Q53" s="238"/>
      <c r="R53" s="161"/>
      <c r="S53" s="294"/>
      <c r="T53" s="9"/>
    </row>
    <row r="54" spans="6:22" ht="45" customHeight="1" x14ac:dyDescent="0.2">
      <c r="F54" s="348"/>
      <c r="G54" s="350"/>
      <c r="H54" s="197" t="s">
        <v>289</v>
      </c>
      <c r="I54" s="207" t="s">
        <v>290</v>
      </c>
      <c r="J54" s="132" t="str">
        <f>IF($G$47=$V$47,2,"-")</f>
        <v>-</v>
      </c>
      <c r="K54" s="77"/>
      <c r="L54" s="355"/>
      <c r="M54" s="34" t="str">
        <f t="shared" si="9"/>
        <v/>
      </c>
      <c r="N54" s="35" t="str">
        <f t="shared" si="8"/>
        <v/>
      </c>
      <c r="O54" s="35"/>
      <c r="P54" s="35"/>
      <c r="Q54" s="238"/>
      <c r="R54" s="161"/>
      <c r="S54" s="294"/>
      <c r="T54" s="9"/>
    </row>
    <row r="55" spans="6:22" ht="45" customHeight="1" x14ac:dyDescent="0.2">
      <c r="F55" s="348"/>
      <c r="G55" s="350"/>
      <c r="H55" s="197" t="s">
        <v>241</v>
      </c>
      <c r="I55" s="133" t="s">
        <v>96</v>
      </c>
      <c r="J55" s="132" t="s">
        <v>98</v>
      </c>
      <c r="K55" s="96"/>
      <c r="L55" s="33"/>
      <c r="M55" s="34" t="str">
        <f t="shared" si="9"/>
        <v/>
      </c>
      <c r="N55" s="35" t="str">
        <f t="shared" si="8"/>
        <v/>
      </c>
      <c r="O55" s="35"/>
      <c r="P55" s="35"/>
      <c r="Q55" s="238"/>
      <c r="R55" s="161"/>
      <c r="S55" s="294"/>
      <c r="T55" s="9"/>
    </row>
    <row r="56" spans="6:22" ht="45" customHeight="1" x14ac:dyDescent="0.2">
      <c r="F56" s="348"/>
      <c r="G56" s="350"/>
      <c r="H56" s="197" t="s">
        <v>242</v>
      </c>
      <c r="I56" s="133" t="s">
        <v>44</v>
      </c>
      <c r="J56" s="132" t="str">
        <f>IF(G47=V48,12,"-")</f>
        <v>-</v>
      </c>
      <c r="K56" s="96"/>
      <c r="L56" s="33" t="str">
        <f>IF(AND(K56&gt;0,$K$55&lt;&gt;$Y$8),"!","")</f>
        <v/>
      </c>
      <c r="M56" s="34" t="str">
        <f t="shared" si="9"/>
        <v/>
      </c>
      <c r="N56" s="35" t="str">
        <f t="shared" si="8"/>
        <v/>
      </c>
      <c r="O56" s="35"/>
      <c r="P56" s="35"/>
      <c r="Q56" s="238"/>
      <c r="R56" s="161"/>
      <c r="S56" s="294"/>
      <c r="T56" s="9"/>
    </row>
    <row r="57" spans="6:22" ht="45" customHeight="1" x14ac:dyDescent="0.2">
      <c r="F57" s="348"/>
      <c r="G57" s="350"/>
      <c r="H57" s="197" t="s">
        <v>243</v>
      </c>
      <c r="I57" s="207" t="s">
        <v>284</v>
      </c>
      <c r="J57" s="132" t="s">
        <v>98</v>
      </c>
      <c r="K57" s="96"/>
      <c r="L57" s="33"/>
      <c r="M57" s="34" t="str">
        <f t="shared" si="9"/>
        <v/>
      </c>
      <c r="N57" s="35" t="str">
        <f t="shared" si="8"/>
        <v/>
      </c>
      <c r="O57" s="35"/>
      <c r="P57" s="35"/>
      <c r="Q57" s="238"/>
      <c r="R57" s="161"/>
      <c r="S57" s="294"/>
      <c r="T57" s="9"/>
    </row>
    <row r="58" spans="6:22" ht="45" customHeight="1" x14ac:dyDescent="0.2">
      <c r="F58" s="348"/>
      <c r="G58" s="350"/>
      <c r="H58" s="197" t="s">
        <v>244</v>
      </c>
      <c r="I58" s="207" t="s">
        <v>288</v>
      </c>
      <c r="J58" s="132" t="str">
        <f>IF(G47=V49,16,"-")</f>
        <v>-</v>
      </c>
      <c r="K58" s="96"/>
      <c r="L58" s="33" t="str">
        <f>IF(AND(K58&gt;0,$K$57&lt;&gt;$Y$8),"!","")</f>
        <v/>
      </c>
      <c r="M58" s="34" t="str">
        <f t="shared" si="9"/>
        <v/>
      </c>
      <c r="N58" s="35" t="str">
        <f t="shared" si="8"/>
        <v/>
      </c>
      <c r="O58" s="35"/>
      <c r="P58" s="35"/>
      <c r="Q58" s="238"/>
      <c r="R58" s="161"/>
      <c r="S58" s="294"/>
      <c r="T58" s="9"/>
    </row>
    <row r="59" spans="6:22" ht="45" customHeight="1" x14ac:dyDescent="0.2">
      <c r="F59" s="348"/>
      <c r="G59" s="350"/>
      <c r="H59" s="197" t="s">
        <v>245</v>
      </c>
      <c r="I59" s="207" t="s">
        <v>196</v>
      </c>
      <c r="J59" s="132" t="s">
        <v>98</v>
      </c>
      <c r="K59" s="96"/>
      <c r="L59" s="33"/>
      <c r="M59" s="34" t="str">
        <f t="shared" si="9"/>
        <v/>
      </c>
      <c r="N59" s="35" t="str">
        <f t="shared" si="8"/>
        <v/>
      </c>
      <c r="O59" s="35"/>
      <c r="P59" s="35"/>
      <c r="Q59" s="238"/>
      <c r="R59" s="161"/>
      <c r="S59" s="294"/>
      <c r="T59" s="9"/>
    </row>
    <row r="60" spans="6:22" ht="45" customHeight="1" x14ac:dyDescent="0.2">
      <c r="F60" s="348"/>
      <c r="G60" s="350"/>
      <c r="H60" s="197" t="s">
        <v>246</v>
      </c>
      <c r="I60" s="207" t="s">
        <v>197</v>
      </c>
      <c r="J60" s="132" t="str">
        <f>IF(G47=V50,16,"-")</f>
        <v>-</v>
      </c>
      <c r="K60" s="96"/>
      <c r="L60" s="33" t="str">
        <f>IF(AND(K60&gt;0,$K$59&lt;&gt;$Y$8),"!","")</f>
        <v/>
      </c>
      <c r="M60" s="34" t="str">
        <f t="shared" si="9"/>
        <v/>
      </c>
      <c r="N60" s="35" t="str">
        <f t="shared" si="8"/>
        <v/>
      </c>
      <c r="O60" s="35"/>
      <c r="P60" s="35"/>
      <c r="Q60" s="238"/>
      <c r="R60" s="161"/>
      <c r="S60" s="294"/>
      <c r="T60" s="9"/>
    </row>
    <row r="61" spans="6:22" ht="45" customHeight="1" x14ac:dyDescent="0.2">
      <c r="F61" s="348"/>
      <c r="G61" s="350"/>
      <c r="H61" s="197" t="s">
        <v>286</v>
      </c>
      <c r="I61" s="235" t="s">
        <v>303</v>
      </c>
      <c r="J61" s="197" t="s">
        <v>98</v>
      </c>
      <c r="K61" s="96"/>
      <c r="L61" s="33"/>
      <c r="M61" s="34" t="str">
        <f t="shared" si="9"/>
        <v/>
      </c>
      <c r="N61" s="35" t="str">
        <f t="shared" si="8"/>
        <v/>
      </c>
      <c r="O61" s="35"/>
      <c r="P61" s="35"/>
      <c r="Q61" s="238"/>
      <c r="R61" s="161"/>
      <c r="S61" s="294"/>
      <c r="T61" s="9"/>
    </row>
    <row r="62" spans="6:22" ht="45" customHeight="1" x14ac:dyDescent="0.2">
      <c r="F62" s="349"/>
      <c r="G62" s="358"/>
      <c r="H62" s="197" t="s">
        <v>285</v>
      </c>
      <c r="I62" s="207" t="s">
        <v>287</v>
      </c>
      <c r="J62" s="132">
        <f>IF(G47=V51,20,"-")</f>
        <v>20</v>
      </c>
      <c r="K62" s="96"/>
      <c r="L62" s="33" t="str">
        <f>IF(AND(K62&gt;0,K61&lt;&gt;$Y$8),"!","")</f>
        <v/>
      </c>
      <c r="M62" s="34" t="str">
        <f t="shared" si="9"/>
        <v/>
      </c>
      <c r="N62" s="35" t="str">
        <f t="shared" si="8"/>
        <v/>
      </c>
      <c r="O62" s="35"/>
      <c r="P62" s="35"/>
      <c r="Q62" s="238"/>
      <c r="R62" s="161"/>
      <c r="S62" s="294"/>
      <c r="T62" s="9"/>
    </row>
    <row r="63" spans="6:22" ht="45" customHeight="1" x14ac:dyDescent="0.2">
      <c r="F63" s="343" t="s">
        <v>95</v>
      </c>
      <c r="G63" s="345" t="s">
        <v>122</v>
      </c>
      <c r="H63" s="198" t="s">
        <v>247</v>
      </c>
      <c r="I63" s="208" t="s">
        <v>291</v>
      </c>
      <c r="J63" s="128" t="str">
        <f>IF(G63=V63,1,"-")</f>
        <v>-</v>
      </c>
      <c r="K63" s="96"/>
      <c r="L63" s="79"/>
      <c r="M63" s="34" t="str">
        <f t="shared" si="9"/>
        <v/>
      </c>
      <c r="N63" s="35" t="str">
        <f t="shared" si="8"/>
        <v/>
      </c>
      <c r="O63" s="35"/>
      <c r="P63" s="35"/>
      <c r="Q63" s="238"/>
      <c r="R63" s="161"/>
      <c r="S63" s="294"/>
      <c r="V63" s="9" t="s">
        <v>198</v>
      </c>
    </row>
    <row r="64" spans="6:22" ht="45" customHeight="1" x14ac:dyDescent="0.2">
      <c r="F64" s="344"/>
      <c r="G64" s="346"/>
      <c r="H64" s="199" t="s">
        <v>248</v>
      </c>
      <c r="I64" s="209" t="s">
        <v>292</v>
      </c>
      <c r="J64" s="129">
        <f>IF(G63=V64,2,"-")</f>
        <v>2</v>
      </c>
      <c r="K64" s="103"/>
      <c r="L64" s="75"/>
      <c r="M64" s="34" t="str">
        <f t="shared" si="9"/>
        <v/>
      </c>
      <c r="N64" s="35" t="str">
        <f t="shared" si="8"/>
        <v/>
      </c>
      <c r="O64" s="35"/>
      <c r="P64" s="35"/>
      <c r="Q64" s="238"/>
      <c r="R64" s="161"/>
      <c r="S64" s="294"/>
      <c r="V64" s="11" t="s">
        <v>122</v>
      </c>
    </row>
    <row r="65" spans="2:22" ht="45" customHeight="1" x14ac:dyDescent="0.2">
      <c r="F65" s="47" t="s">
        <v>70</v>
      </c>
      <c r="G65" s="47"/>
      <c r="H65" s="48"/>
      <c r="I65" s="47"/>
      <c r="J65" s="48">
        <f>IF(G47=V47,5+SUM(J63:J64),SUM(J47:J64))</f>
        <v>22</v>
      </c>
      <c r="K65" s="48">
        <f>SUM(K47:K64)</f>
        <v>0</v>
      </c>
      <c r="L65" s="33" t="str">
        <f>IF(K65&gt;J65,"!","")</f>
        <v/>
      </c>
      <c r="M65" s="49">
        <f>SUM(M47:M64)</f>
        <v>0</v>
      </c>
      <c r="N65" s="49">
        <f>SUM(N47:N64)</f>
        <v>0</v>
      </c>
      <c r="O65" s="51"/>
      <c r="P65" s="51"/>
      <c r="Q65" s="240"/>
      <c r="R65" s="65"/>
      <c r="S65" s="298"/>
      <c r="T65" s="9"/>
    </row>
    <row r="66" spans="2:22" ht="45" customHeight="1" x14ac:dyDescent="0.25">
      <c r="L66" s="80"/>
      <c r="Q66" s="242"/>
      <c r="T66" s="9"/>
    </row>
    <row r="67" spans="2:22" ht="45" customHeight="1" x14ac:dyDescent="0.2">
      <c r="F67" s="311" t="s">
        <v>3</v>
      </c>
      <c r="G67" s="81"/>
      <c r="H67" s="82"/>
      <c r="I67" s="81"/>
      <c r="J67" s="58">
        <f>10-SUM(B68:B73)</f>
        <v>10</v>
      </c>
      <c r="K67" s="58"/>
      <c r="L67" s="79"/>
      <c r="M67" s="204"/>
      <c r="N67" s="204"/>
      <c r="O67" s="204"/>
      <c r="P67" s="204"/>
      <c r="Q67" s="223"/>
      <c r="R67" s="36"/>
      <c r="S67" s="297"/>
      <c r="T67" s="73"/>
    </row>
    <row r="68" spans="2:22" ht="45" customHeight="1" x14ac:dyDescent="0.2">
      <c r="F68" s="347" t="s">
        <v>121</v>
      </c>
      <c r="G68" s="350" t="s">
        <v>122</v>
      </c>
      <c r="H68" s="83" t="s">
        <v>249</v>
      </c>
      <c r="I68" s="84" t="s">
        <v>122</v>
      </c>
      <c r="J68" s="85">
        <f>IF(G68=V68,10,0)</f>
        <v>10</v>
      </c>
      <c r="K68" s="74"/>
      <c r="L68" s="75"/>
      <c r="M68" s="34" t="str">
        <f>IF(OR(Q68=$X$9,Q68=$X$10),K68,"")</f>
        <v/>
      </c>
      <c r="N68" s="35" t="str">
        <f t="shared" ref="N68:N73" si="11">IF(Q68=$X$11,K68,"")</f>
        <v/>
      </c>
      <c r="O68" s="35"/>
      <c r="P68" s="35"/>
      <c r="Q68" s="239"/>
      <c r="R68" s="161"/>
      <c r="S68" s="294"/>
      <c r="V68" s="9" t="s">
        <v>122</v>
      </c>
    </row>
    <row r="69" spans="2:22" ht="45" customHeight="1" x14ac:dyDescent="0.2">
      <c r="F69" s="348"/>
      <c r="G69" s="350"/>
      <c r="H69" s="86" t="s">
        <v>250</v>
      </c>
      <c r="I69" s="87" t="s">
        <v>37</v>
      </c>
      <c r="J69" s="88">
        <f>IF($G$68=$V$69,3,0)</f>
        <v>0</v>
      </c>
      <c r="K69" s="76"/>
      <c r="L69" s="75"/>
      <c r="M69" s="34" t="str">
        <f t="shared" ref="M69:M73" si="12">IF(OR(Q69=$X$9,Q69=$X$10),K69,"")</f>
        <v/>
      </c>
      <c r="N69" s="35" t="str">
        <f t="shared" si="11"/>
        <v/>
      </c>
      <c r="O69" s="35"/>
      <c r="P69" s="35"/>
      <c r="Q69" s="238"/>
      <c r="R69" s="161"/>
      <c r="S69" s="294"/>
      <c r="V69" s="9" t="s">
        <v>198</v>
      </c>
    </row>
    <row r="70" spans="2:22" ht="45" customHeight="1" x14ac:dyDescent="0.2">
      <c r="B70" s="189">
        <f>IF(AND($G$68=$V$69,C70=TRUE),1,0)</f>
        <v>0</v>
      </c>
      <c r="C70" s="189" t="b">
        <v>0</v>
      </c>
      <c r="F70" s="348"/>
      <c r="G70" s="350"/>
      <c r="H70" s="86" t="s">
        <v>251</v>
      </c>
      <c r="I70" s="159" t="s">
        <v>38</v>
      </c>
      <c r="J70" s="88">
        <f>IF(OR($G$68=$V$68,C70=TRUE),0,1)</f>
        <v>0</v>
      </c>
      <c r="K70" s="76"/>
      <c r="L70" s="75"/>
      <c r="M70" s="34" t="str">
        <f t="shared" si="12"/>
        <v/>
      </c>
      <c r="N70" s="35" t="str">
        <f t="shared" si="11"/>
        <v/>
      </c>
      <c r="O70" s="35"/>
      <c r="P70" s="35"/>
      <c r="Q70" s="238"/>
      <c r="R70" s="161"/>
      <c r="S70" s="294"/>
      <c r="T70" s="9"/>
    </row>
    <row r="71" spans="2:22" ht="45" customHeight="1" x14ac:dyDescent="0.2">
      <c r="B71" s="189">
        <f>IF(AND($G$68=$V$69,C71=TRUE),1,0)</f>
        <v>0</v>
      </c>
      <c r="C71" s="189" t="b">
        <v>0</v>
      </c>
      <c r="F71" s="348"/>
      <c r="G71" s="350"/>
      <c r="H71" s="86" t="s">
        <v>252</v>
      </c>
      <c r="I71" s="159" t="s">
        <v>39</v>
      </c>
      <c r="J71" s="88">
        <f>IF(OR($G$68=$V$68,C71=TRUE),0,1)</f>
        <v>0</v>
      </c>
      <c r="K71" s="76"/>
      <c r="L71" s="75"/>
      <c r="M71" s="34" t="str">
        <f t="shared" si="12"/>
        <v/>
      </c>
      <c r="N71" s="35" t="str">
        <f t="shared" si="11"/>
        <v/>
      </c>
      <c r="O71" s="35"/>
      <c r="P71" s="35"/>
      <c r="Q71" s="238"/>
      <c r="R71" s="161"/>
      <c r="S71" s="294"/>
      <c r="T71" s="9"/>
    </row>
    <row r="72" spans="2:22" ht="45" customHeight="1" x14ac:dyDescent="0.2">
      <c r="F72" s="348"/>
      <c r="G72" s="350"/>
      <c r="H72" s="86" t="s">
        <v>253</v>
      </c>
      <c r="I72" s="87" t="s">
        <v>40</v>
      </c>
      <c r="J72" s="88">
        <f>IF($G$68=$V$69,1,0)</f>
        <v>0</v>
      </c>
      <c r="K72" s="76"/>
      <c r="L72" s="75"/>
      <c r="M72" s="34" t="str">
        <f t="shared" si="12"/>
        <v/>
      </c>
      <c r="N72" s="35" t="str">
        <f t="shared" si="11"/>
        <v/>
      </c>
      <c r="O72" s="35"/>
      <c r="P72" s="35"/>
      <c r="Q72" s="238"/>
      <c r="R72" s="161"/>
      <c r="S72" s="294"/>
      <c r="T72" s="9"/>
    </row>
    <row r="73" spans="2:22" ht="45" customHeight="1" x14ac:dyDescent="0.2">
      <c r="F73" s="349"/>
      <c r="G73" s="350"/>
      <c r="H73" s="89" t="s">
        <v>254</v>
      </c>
      <c r="I73" s="90" t="s">
        <v>182</v>
      </c>
      <c r="J73" s="91">
        <f>IF($G$68=$V$69,1,0)</f>
        <v>0</v>
      </c>
      <c r="K73" s="78"/>
      <c r="L73" s="75"/>
      <c r="M73" s="34" t="str">
        <f t="shared" si="12"/>
        <v/>
      </c>
      <c r="N73" s="35" t="str">
        <f t="shared" si="11"/>
        <v/>
      </c>
      <c r="O73" s="35"/>
      <c r="P73" s="35"/>
      <c r="Q73" s="238"/>
      <c r="R73" s="161"/>
      <c r="S73" s="294"/>
      <c r="T73" s="9"/>
    </row>
    <row r="74" spans="2:22" ht="45" customHeight="1" x14ac:dyDescent="0.2">
      <c r="F74" s="47" t="s">
        <v>70</v>
      </c>
      <c r="G74" s="47"/>
      <c r="H74" s="48"/>
      <c r="I74" s="47"/>
      <c r="J74" s="48">
        <f>SUM(J68:J73)</f>
        <v>10</v>
      </c>
      <c r="K74" s="48">
        <f>SUM(K68:K73)</f>
        <v>0</v>
      </c>
      <c r="L74" s="33" t="str">
        <f>IF(K74&gt;J74,"!","")</f>
        <v/>
      </c>
      <c r="M74" s="49">
        <f t="shared" ref="M74:N74" si="13">SUM(M68:M73)</f>
        <v>0</v>
      </c>
      <c r="N74" s="49">
        <f t="shared" si="13"/>
        <v>0</v>
      </c>
      <c r="O74" s="51"/>
      <c r="P74" s="51"/>
      <c r="Q74" s="240"/>
      <c r="R74" s="65"/>
      <c r="S74" s="298"/>
      <c r="T74" s="9"/>
    </row>
    <row r="75" spans="2:22" ht="45" customHeight="1" x14ac:dyDescent="0.25">
      <c r="L75" s="80"/>
      <c r="Q75" s="242"/>
    </row>
    <row r="76" spans="2:22" ht="45" customHeight="1" x14ac:dyDescent="0.2">
      <c r="F76" s="311" t="s">
        <v>4</v>
      </c>
      <c r="G76" s="81"/>
      <c r="H76" s="82"/>
      <c r="I76" s="81"/>
      <c r="J76" s="58">
        <f>12-SUM(B77:B82)</f>
        <v>12</v>
      </c>
      <c r="K76" s="58"/>
      <c r="L76" s="79"/>
      <c r="M76" s="204"/>
      <c r="N76" s="204"/>
      <c r="O76" s="204"/>
      <c r="P76" s="204"/>
      <c r="Q76" s="223"/>
      <c r="R76" s="36"/>
      <c r="S76" s="297"/>
      <c r="T76" s="73"/>
    </row>
    <row r="77" spans="2:22" ht="45" customHeight="1" x14ac:dyDescent="0.2">
      <c r="F77" s="351" t="s">
        <v>10</v>
      </c>
      <c r="G77" s="350" t="s">
        <v>122</v>
      </c>
      <c r="H77" s="83" t="s">
        <v>255</v>
      </c>
      <c r="I77" s="84" t="s">
        <v>293</v>
      </c>
      <c r="J77" s="85">
        <f>IF(G77=V77,12,0)</f>
        <v>12</v>
      </c>
      <c r="K77" s="92"/>
      <c r="L77" s="75"/>
      <c r="M77" s="34" t="str">
        <f>IF(OR(Q77=$X$9,Q77=$X$10),K77,"")</f>
        <v/>
      </c>
      <c r="N77" s="35" t="str">
        <f t="shared" ref="N77:N82" si="14">IF(Q77=$X$11,K77,"")</f>
        <v/>
      </c>
      <c r="O77" s="35"/>
      <c r="P77" s="35"/>
      <c r="Q77" s="239"/>
      <c r="R77" s="36"/>
      <c r="S77" s="294"/>
      <c r="T77" s="9"/>
      <c r="V77" s="9" t="s">
        <v>122</v>
      </c>
    </row>
    <row r="78" spans="2:22" ht="45" customHeight="1" x14ac:dyDescent="0.2">
      <c r="F78" s="343"/>
      <c r="G78" s="350"/>
      <c r="H78" s="86" t="s">
        <v>256</v>
      </c>
      <c r="I78" s="87" t="s">
        <v>123</v>
      </c>
      <c r="J78" s="88">
        <f>IF($G$77=$V$78,1,0)</f>
        <v>0</v>
      </c>
      <c r="K78" s="93"/>
      <c r="L78" s="75"/>
      <c r="M78" s="34" t="str">
        <f t="shared" ref="M78:M82" si="15">IF(OR(Q78=$X$9,Q78=$X$10),K78,"")</f>
        <v/>
      </c>
      <c r="N78" s="35" t="str">
        <f t="shared" si="14"/>
        <v/>
      </c>
      <c r="O78" s="35"/>
      <c r="P78" s="35"/>
      <c r="Q78" s="238"/>
      <c r="R78" s="65"/>
      <c r="S78" s="294"/>
      <c r="T78" s="9"/>
      <c r="V78" s="9" t="s">
        <v>198</v>
      </c>
    </row>
    <row r="79" spans="2:22" ht="45" customHeight="1" x14ac:dyDescent="0.2">
      <c r="F79" s="343"/>
      <c r="G79" s="350"/>
      <c r="H79" s="86" t="s">
        <v>257</v>
      </c>
      <c r="I79" s="87" t="s">
        <v>124</v>
      </c>
      <c r="J79" s="88">
        <f t="shared" ref="J79" si="16">IF($G$77=$V$78,1,0)</f>
        <v>0</v>
      </c>
      <c r="K79" s="93"/>
      <c r="L79" s="75"/>
      <c r="M79" s="34" t="str">
        <f t="shared" si="15"/>
        <v/>
      </c>
      <c r="N79" s="35" t="str">
        <f t="shared" si="14"/>
        <v/>
      </c>
      <c r="O79" s="35"/>
      <c r="P79" s="35"/>
      <c r="Q79" s="238"/>
      <c r="R79" s="65"/>
      <c r="S79" s="294"/>
      <c r="T79" s="9"/>
    </row>
    <row r="80" spans="2:22" ht="45" customHeight="1" x14ac:dyDescent="0.2">
      <c r="F80" s="343"/>
      <c r="G80" s="350"/>
      <c r="H80" s="86" t="s">
        <v>258</v>
      </c>
      <c r="I80" s="87" t="s">
        <v>125</v>
      </c>
      <c r="J80" s="88">
        <f>IF($G$77=$V$78,2,0)</f>
        <v>0</v>
      </c>
      <c r="K80" s="93"/>
      <c r="L80" s="75"/>
      <c r="M80" s="34" t="str">
        <f t="shared" si="15"/>
        <v/>
      </c>
      <c r="N80" s="35" t="str">
        <f t="shared" si="14"/>
        <v/>
      </c>
      <c r="O80" s="35"/>
      <c r="P80" s="35"/>
      <c r="Q80" s="238"/>
      <c r="R80" s="65"/>
      <c r="S80" s="294"/>
      <c r="T80" s="9"/>
    </row>
    <row r="81" spans="1:22" ht="45" customHeight="1" x14ac:dyDescent="0.2">
      <c r="B81" s="189">
        <f>IF(AND($G$77=$V$78,C81=TRUE),1,0)</f>
        <v>0</v>
      </c>
      <c r="C81" s="189" t="b">
        <v>0</v>
      </c>
      <c r="F81" s="343"/>
      <c r="G81" s="350"/>
      <c r="H81" s="86" t="s">
        <v>259</v>
      </c>
      <c r="I81" s="159" t="s">
        <v>126</v>
      </c>
      <c r="J81" s="88">
        <f>IF(OR($G$77=$V$77,C81=TRUE),0,1)</f>
        <v>0</v>
      </c>
      <c r="K81" s="93"/>
      <c r="L81" s="75"/>
      <c r="M81" s="34" t="str">
        <f t="shared" si="15"/>
        <v/>
      </c>
      <c r="N81" s="35" t="str">
        <f t="shared" si="14"/>
        <v/>
      </c>
      <c r="O81" s="35"/>
      <c r="P81" s="35"/>
      <c r="Q81" s="238"/>
      <c r="R81" s="65"/>
      <c r="S81" s="294"/>
      <c r="T81" s="9"/>
    </row>
    <row r="82" spans="1:22" ht="45" customHeight="1" x14ac:dyDescent="0.2">
      <c r="B82" s="189">
        <f>IF(AND($G$77=$V$78,C82=TRUE),1,0)</f>
        <v>0</v>
      </c>
      <c r="C82" s="189" t="b">
        <v>0</v>
      </c>
      <c r="F82" s="344"/>
      <c r="G82" s="350"/>
      <c r="H82" s="89" t="s">
        <v>260</v>
      </c>
      <c r="I82" s="159" t="s">
        <v>127</v>
      </c>
      <c r="J82" s="91">
        <f>IF(OR($G$77=$V$77,C82=TRUE),0,1)</f>
        <v>0</v>
      </c>
      <c r="K82" s="94"/>
      <c r="L82" s="75"/>
      <c r="M82" s="34" t="str">
        <f t="shared" si="15"/>
        <v/>
      </c>
      <c r="N82" s="35" t="str">
        <f t="shared" si="14"/>
        <v/>
      </c>
      <c r="O82" s="35"/>
      <c r="P82" s="35"/>
      <c r="Q82" s="238"/>
      <c r="R82" s="65"/>
      <c r="S82" s="294"/>
      <c r="T82" s="9"/>
    </row>
    <row r="83" spans="1:22" ht="45" customHeight="1" x14ac:dyDescent="0.2">
      <c r="F83" s="47" t="s">
        <v>70</v>
      </c>
      <c r="G83" s="47"/>
      <c r="H83" s="48"/>
      <c r="I83" s="47"/>
      <c r="J83" s="48">
        <f>SUM(J77:J82)</f>
        <v>12</v>
      </c>
      <c r="K83" s="48">
        <f>SUM(K77:K82)</f>
        <v>0</v>
      </c>
      <c r="L83" s="33" t="str">
        <f>IF(K83&gt;J83,"!","")</f>
        <v/>
      </c>
      <c r="M83" s="49">
        <f t="shared" ref="M83:N83" si="17">SUM(M77:M82)</f>
        <v>0</v>
      </c>
      <c r="N83" s="49">
        <f t="shared" si="17"/>
        <v>0</v>
      </c>
      <c r="O83" s="51"/>
      <c r="P83" s="51"/>
      <c r="Q83" s="240"/>
      <c r="R83" s="65"/>
      <c r="S83" s="298"/>
      <c r="T83" s="9"/>
    </row>
    <row r="84" spans="1:22" ht="45" customHeight="1" x14ac:dyDescent="0.25">
      <c r="L84" s="80"/>
      <c r="Q84" s="242"/>
    </row>
    <row r="85" spans="1:22" ht="45" customHeight="1" x14ac:dyDescent="0.2">
      <c r="F85" s="311" t="s">
        <v>5</v>
      </c>
      <c r="G85" s="81"/>
      <c r="H85" s="58"/>
      <c r="I85" s="81"/>
      <c r="J85" s="58">
        <f>14-SUM(B86:B96)</f>
        <v>14</v>
      </c>
      <c r="K85" s="58"/>
      <c r="L85" s="79"/>
      <c r="M85" s="204"/>
      <c r="N85" s="204"/>
      <c r="O85" s="204"/>
      <c r="P85" s="204"/>
      <c r="Q85" s="223"/>
      <c r="R85" s="36"/>
      <c r="S85" s="297"/>
      <c r="T85" s="73"/>
      <c r="V85" s="9"/>
    </row>
    <row r="86" spans="1:22" ht="45" customHeight="1" x14ac:dyDescent="0.2">
      <c r="F86" s="352" t="s">
        <v>148</v>
      </c>
      <c r="G86" s="350" t="s">
        <v>280</v>
      </c>
      <c r="H86" s="136" t="s">
        <v>270</v>
      </c>
      <c r="I86" s="236" t="s">
        <v>41</v>
      </c>
      <c r="J86" s="95">
        <f>IF($G$86=$V$86,6,0)</f>
        <v>6</v>
      </c>
      <c r="K86" s="77"/>
      <c r="L86" s="75"/>
      <c r="M86" s="34" t="str">
        <f>IF(OR(Q86=$X$9,Q86=$X$10),K86,"")</f>
        <v/>
      </c>
      <c r="N86" s="35" t="str">
        <f t="shared" ref="N86:N96" si="18">IF(Q86=$X$11,K86,"")</f>
        <v/>
      </c>
      <c r="O86" s="35"/>
      <c r="P86" s="35"/>
      <c r="Q86" s="239"/>
      <c r="R86" s="36"/>
      <c r="S86" s="294"/>
      <c r="T86" s="9"/>
      <c r="V86" s="65" t="s">
        <v>280</v>
      </c>
    </row>
    <row r="87" spans="1:22" ht="45" customHeight="1" x14ac:dyDescent="0.2">
      <c r="F87" s="353"/>
      <c r="G87" s="350"/>
      <c r="H87" s="136" t="s">
        <v>271</v>
      </c>
      <c r="I87" s="236" t="s">
        <v>42</v>
      </c>
      <c r="J87" s="95">
        <f>IF($G$86=$V$86,1,0)</f>
        <v>1</v>
      </c>
      <c r="K87" s="77"/>
      <c r="L87" s="75"/>
      <c r="M87" s="34" t="str">
        <f t="shared" ref="M87:M96" si="19">IF(OR(Q87=$X$9,Q87=$X$10),K87,"")</f>
        <v/>
      </c>
      <c r="N87" s="35" t="str">
        <f t="shared" si="18"/>
        <v/>
      </c>
      <c r="O87" s="35"/>
      <c r="P87" s="35"/>
      <c r="Q87" s="238"/>
      <c r="R87" s="36"/>
      <c r="S87" s="294"/>
      <c r="T87" s="9"/>
      <c r="V87" s="11" t="s">
        <v>294</v>
      </c>
    </row>
    <row r="88" spans="1:22" ht="45" customHeight="1" x14ac:dyDescent="0.2">
      <c r="F88" s="353"/>
      <c r="G88" s="350"/>
      <c r="H88" s="136" t="s">
        <v>261</v>
      </c>
      <c r="I88" s="155" t="s">
        <v>159</v>
      </c>
      <c r="J88" s="95">
        <f>IF($G$86=$V$87,3,0)</f>
        <v>0</v>
      </c>
      <c r="K88" s="77"/>
      <c r="L88" s="334" t="str">
        <f>IF(SUM(K88:K90)&gt;5,"Error: the total number of points available for the 'Material Use' Pathway is 5. Please enter a points score less than or equal to 5.","")</f>
        <v/>
      </c>
      <c r="M88" s="34" t="str">
        <f t="shared" si="19"/>
        <v/>
      </c>
      <c r="N88" s="35" t="str">
        <f t="shared" si="18"/>
        <v/>
      </c>
      <c r="O88" s="35"/>
      <c r="P88" s="35"/>
      <c r="Q88" s="238"/>
      <c r="R88" s="36"/>
      <c r="S88" s="294"/>
      <c r="T88" s="9"/>
    </row>
    <row r="89" spans="1:22" ht="45" customHeight="1" x14ac:dyDescent="0.2">
      <c r="F89" s="353"/>
      <c r="G89" s="350"/>
      <c r="H89" s="136" t="s">
        <v>262</v>
      </c>
      <c r="I89" s="155" t="s">
        <v>160</v>
      </c>
      <c r="J89" s="95">
        <f>IF($G$86=$V$87,1,0)</f>
        <v>0</v>
      </c>
      <c r="K89" s="77"/>
      <c r="L89" s="334"/>
      <c r="M89" s="34" t="str">
        <f t="shared" si="19"/>
        <v/>
      </c>
      <c r="N89" s="35" t="str">
        <f t="shared" si="18"/>
        <v/>
      </c>
      <c r="O89" s="35"/>
      <c r="P89" s="35"/>
      <c r="Q89" s="238"/>
      <c r="R89" s="36"/>
      <c r="S89" s="294"/>
      <c r="T89" s="9"/>
    </row>
    <row r="90" spans="1:22" ht="45" customHeight="1" x14ac:dyDescent="0.2">
      <c r="A90" s="189">
        <v>4</v>
      </c>
      <c r="B90" s="189">
        <f t="shared" ref="B90:B93" si="20">IF(C90=TRUE,A90,0)</f>
        <v>0</v>
      </c>
      <c r="F90" s="354"/>
      <c r="G90" s="350"/>
      <c r="H90" s="136" t="s">
        <v>263</v>
      </c>
      <c r="I90" s="156" t="s">
        <v>161</v>
      </c>
      <c r="J90" s="95">
        <f>IF($G$86=$V$87,4,0)</f>
        <v>0</v>
      </c>
      <c r="K90" s="77"/>
      <c r="L90" s="334"/>
      <c r="M90" s="34" t="str">
        <f t="shared" si="19"/>
        <v/>
      </c>
      <c r="N90" s="35" t="str">
        <f t="shared" si="18"/>
        <v/>
      </c>
      <c r="O90" s="35"/>
      <c r="P90" s="35"/>
      <c r="Q90" s="238"/>
      <c r="R90" s="36"/>
      <c r="S90" s="294"/>
      <c r="T90" s="9"/>
    </row>
    <row r="91" spans="1:22" ht="45" customHeight="1" x14ac:dyDescent="0.2">
      <c r="A91" s="189">
        <v>1</v>
      </c>
      <c r="B91" s="189">
        <f t="shared" si="20"/>
        <v>0</v>
      </c>
      <c r="C91" s="189" t="b">
        <v>0</v>
      </c>
      <c r="F91" s="335" t="s">
        <v>147</v>
      </c>
      <c r="G91" s="337" t="s">
        <v>150</v>
      </c>
      <c r="H91" s="154">
        <v>20.100000000000001</v>
      </c>
      <c r="I91" s="153" t="s">
        <v>304</v>
      </c>
      <c r="J91" s="95">
        <f>IF(C91=TRUE,0,1)</f>
        <v>1</v>
      </c>
      <c r="K91" s="64"/>
      <c r="L91" s="75"/>
      <c r="M91" s="34" t="str">
        <f t="shared" si="19"/>
        <v/>
      </c>
      <c r="N91" s="35" t="str">
        <f t="shared" si="18"/>
        <v/>
      </c>
      <c r="O91" s="35"/>
      <c r="P91" s="35"/>
      <c r="Q91" s="238"/>
      <c r="R91" s="36"/>
      <c r="S91" s="294"/>
      <c r="T91" s="9"/>
    </row>
    <row r="92" spans="1:22" ht="45" customHeight="1" x14ac:dyDescent="0.2">
      <c r="A92" s="189">
        <v>1</v>
      </c>
      <c r="B92" s="189">
        <f t="shared" si="20"/>
        <v>0</v>
      </c>
      <c r="C92" s="189" t="b">
        <v>0</v>
      </c>
      <c r="F92" s="336"/>
      <c r="G92" s="338"/>
      <c r="H92" s="154">
        <v>20.2</v>
      </c>
      <c r="I92" s="153" t="s">
        <v>305</v>
      </c>
      <c r="J92" s="95">
        <f t="shared" ref="J92:J93" si="21">IF(C92=TRUE,0,1)</f>
        <v>1</v>
      </c>
      <c r="K92" s="64"/>
      <c r="L92" s="33"/>
      <c r="M92" s="34" t="str">
        <f t="shared" si="19"/>
        <v/>
      </c>
      <c r="N92" s="35" t="str">
        <f t="shared" si="18"/>
        <v/>
      </c>
      <c r="O92" s="35"/>
      <c r="P92" s="35"/>
      <c r="Q92" s="238"/>
      <c r="R92" s="36"/>
      <c r="S92" s="294"/>
      <c r="T92" s="9"/>
    </row>
    <row r="93" spans="1:22" ht="45" customHeight="1" x14ac:dyDescent="0.2">
      <c r="A93" s="189">
        <v>1</v>
      </c>
      <c r="B93" s="189">
        <f t="shared" si="20"/>
        <v>0</v>
      </c>
      <c r="C93" s="189" t="b">
        <v>0</v>
      </c>
      <c r="F93" s="327"/>
      <c r="G93" s="339"/>
      <c r="H93" s="154">
        <v>20.3</v>
      </c>
      <c r="I93" s="153" t="s">
        <v>306</v>
      </c>
      <c r="J93" s="95">
        <f t="shared" si="21"/>
        <v>1</v>
      </c>
      <c r="K93" s="64"/>
      <c r="L93" s="33"/>
      <c r="M93" s="34" t="str">
        <f t="shared" si="19"/>
        <v/>
      </c>
      <c r="N93" s="35" t="str">
        <f t="shared" si="18"/>
        <v/>
      </c>
      <c r="O93" s="35"/>
      <c r="P93" s="35"/>
      <c r="Q93" s="238"/>
      <c r="R93" s="36"/>
      <c r="S93" s="294"/>
      <c r="T93" s="9"/>
    </row>
    <row r="94" spans="1:22" ht="45" customHeight="1" x14ac:dyDescent="0.2">
      <c r="F94" s="305" t="s">
        <v>63</v>
      </c>
      <c r="G94" s="151" t="s">
        <v>149</v>
      </c>
      <c r="H94" s="152">
        <v>21.1</v>
      </c>
      <c r="I94" s="153" t="s">
        <v>307</v>
      </c>
      <c r="J94" s="95">
        <v>3</v>
      </c>
      <c r="K94" s="64"/>
      <c r="L94" s="79"/>
      <c r="M94" s="34" t="str">
        <f t="shared" si="19"/>
        <v/>
      </c>
      <c r="N94" s="35" t="str">
        <f>IF(Q94=$X$11,K94,"")</f>
        <v/>
      </c>
      <c r="O94" s="35"/>
      <c r="P94" s="35"/>
      <c r="Q94" s="238"/>
      <c r="R94" s="36"/>
      <c r="S94" s="294"/>
      <c r="T94" s="9"/>
    </row>
    <row r="95" spans="1:22" ht="45" customHeight="1" x14ac:dyDescent="0.2">
      <c r="F95" s="335" t="s">
        <v>164</v>
      </c>
      <c r="G95" s="341" t="s">
        <v>312</v>
      </c>
      <c r="H95" s="244" t="s">
        <v>313</v>
      </c>
      <c r="I95" s="153" t="s">
        <v>311</v>
      </c>
      <c r="J95" s="95" t="str">
        <f>IF(G95=V95,1,"-")</f>
        <v>-</v>
      </c>
      <c r="K95" s="64"/>
      <c r="L95" s="79"/>
      <c r="M95" s="34"/>
      <c r="N95" s="35"/>
      <c r="O95" s="35"/>
      <c r="P95" s="35"/>
      <c r="Q95" s="238"/>
      <c r="R95" s="36"/>
      <c r="S95" s="294"/>
      <c r="T95" s="9"/>
      <c r="V95" s="11" t="s">
        <v>311</v>
      </c>
    </row>
    <row r="96" spans="1:22" ht="45" customHeight="1" x14ac:dyDescent="0.2">
      <c r="F96" s="327"/>
      <c r="G96" s="342"/>
      <c r="H96" s="244" t="s">
        <v>314</v>
      </c>
      <c r="I96" s="309" t="s">
        <v>312</v>
      </c>
      <c r="J96" s="95">
        <f>IF(G95=V96,1,"-")</f>
        <v>1</v>
      </c>
      <c r="K96" s="64"/>
      <c r="L96" s="33"/>
      <c r="M96" s="34" t="str">
        <f t="shared" si="19"/>
        <v/>
      </c>
      <c r="N96" s="35" t="str">
        <f t="shared" si="18"/>
        <v/>
      </c>
      <c r="O96" s="35"/>
      <c r="P96" s="35"/>
      <c r="Q96" s="238"/>
      <c r="R96" s="36"/>
      <c r="S96" s="294"/>
      <c r="T96" s="9"/>
      <c r="V96" s="11" t="s">
        <v>312</v>
      </c>
    </row>
    <row r="97" spans="1:20" ht="45" customHeight="1" x14ac:dyDescent="0.2">
      <c r="F97" s="47" t="s">
        <v>70</v>
      </c>
      <c r="G97" s="47"/>
      <c r="H97" s="48"/>
      <c r="I97" s="47"/>
      <c r="J97" s="48">
        <f>IF(G86=V87,12,14)</f>
        <v>14</v>
      </c>
      <c r="K97" s="48">
        <f>SUM(K86:K96)</f>
        <v>0</v>
      </c>
      <c r="L97" s="33" t="str">
        <f>IF(K97&gt;J97,"!","")</f>
        <v/>
      </c>
      <c r="M97" s="49">
        <f>SUM(M86:M96)</f>
        <v>0</v>
      </c>
      <c r="N97" s="49">
        <f>SUM(N86:N96)</f>
        <v>0</v>
      </c>
      <c r="O97" s="51"/>
      <c r="P97" s="51"/>
      <c r="Q97" s="240"/>
      <c r="R97" s="65"/>
      <c r="S97" s="298"/>
      <c r="T97" s="9"/>
    </row>
    <row r="98" spans="1:20" ht="45" customHeight="1" x14ac:dyDescent="0.25">
      <c r="L98" s="80"/>
      <c r="Q98" s="242"/>
      <c r="R98" s="195"/>
    </row>
    <row r="99" spans="1:20" ht="45" customHeight="1" x14ac:dyDescent="0.2">
      <c r="F99" s="333" t="s">
        <v>11</v>
      </c>
      <c r="G99" s="333"/>
      <c r="H99" s="333"/>
      <c r="I99" s="333"/>
      <c r="J99" s="58">
        <f>6-SUM(B100:B105)</f>
        <v>6</v>
      </c>
      <c r="K99" s="58"/>
      <c r="L99" s="79"/>
      <c r="M99" s="340"/>
      <c r="N99" s="340"/>
      <c r="O99" s="314"/>
      <c r="P99" s="314"/>
      <c r="Q99" s="223"/>
      <c r="R99" s="195"/>
      <c r="S99" s="297"/>
      <c r="T99" s="73"/>
    </row>
    <row r="100" spans="1:20" ht="45" customHeight="1" x14ac:dyDescent="0.2">
      <c r="F100" s="327" t="s">
        <v>12</v>
      </c>
      <c r="G100" s="329" t="s">
        <v>129</v>
      </c>
      <c r="H100" s="97">
        <v>23</v>
      </c>
      <c r="I100" s="98" t="s">
        <v>46</v>
      </c>
      <c r="J100" s="38" t="s">
        <v>98</v>
      </c>
      <c r="K100" s="99"/>
      <c r="L100" s="75"/>
      <c r="M100" s="34" t="str">
        <f>IF(OR(Q100=$X$9,Q100=$X$10),K100,"")</f>
        <v/>
      </c>
      <c r="N100" s="35" t="str">
        <f t="shared" ref="N100:N105" si="22">IF(Q100=$X$11,K100,"")</f>
        <v/>
      </c>
      <c r="O100" s="35"/>
      <c r="P100" s="35"/>
      <c r="Q100" s="239"/>
      <c r="S100" s="294"/>
      <c r="T100" s="9"/>
    </row>
    <row r="101" spans="1:20" ht="45" customHeight="1" x14ac:dyDescent="0.2">
      <c r="F101" s="328"/>
      <c r="G101" s="330"/>
      <c r="H101" s="40">
        <v>23.1</v>
      </c>
      <c r="I101" s="66" t="s">
        <v>12</v>
      </c>
      <c r="J101" s="67">
        <v>3</v>
      </c>
      <c r="K101" s="77"/>
      <c r="L101" s="33" t="str">
        <f>IF(AND(K101&gt;0,$K100&lt;&gt;$Y$8),"!","")</f>
        <v/>
      </c>
      <c r="M101" s="34" t="str">
        <f t="shared" ref="M101:M105" si="23">IF(OR(Q101=$X$9,Q101=$X$10),K101,"")</f>
        <v/>
      </c>
      <c r="N101" s="35" t="str">
        <f t="shared" si="22"/>
        <v/>
      </c>
      <c r="O101" s="35"/>
      <c r="P101" s="35"/>
      <c r="Q101" s="238"/>
      <c r="S101" s="294"/>
      <c r="T101" s="9"/>
    </row>
    <row r="102" spans="1:20" ht="45" customHeight="1" x14ac:dyDescent="0.2">
      <c r="F102" s="328" t="s">
        <v>45</v>
      </c>
      <c r="G102" s="331" t="s">
        <v>130</v>
      </c>
      <c r="H102" s="40">
        <v>24</v>
      </c>
      <c r="I102" s="100" t="s">
        <v>36</v>
      </c>
      <c r="J102" s="67" t="s">
        <v>98</v>
      </c>
      <c r="K102" s="77"/>
      <c r="L102" s="75"/>
      <c r="M102" s="34" t="str">
        <f t="shared" si="23"/>
        <v/>
      </c>
      <c r="N102" s="35" t="str">
        <f t="shared" si="22"/>
        <v/>
      </c>
      <c r="O102" s="35"/>
      <c r="P102" s="35"/>
      <c r="Q102" s="238"/>
      <c r="S102" s="294"/>
      <c r="T102" s="9"/>
    </row>
    <row r="103" spans="1:20" ht="45" customHeight="1" x14ac:dyDescent="0.2">
      <c r="F103" s="328"/>
      <c r="G103" s="329"/>
      <c r="H103" s="40">
        <v>24.1</v>
      </c>
      <c r="I103" s="100" t="s">
        <v>64</v>
      </c>
      <c r="J103" s="67">
        <v>1</v>
      </c>
      <c r="K103" s="77"/>
      <c r="L103" s="33" t="str">
        <f>IF(AND(K103&gt;0,$K$102&lt;&gt;$Y$8),"!","")</f>
        <v/>
      </c>
      <c r="M103" s="34" t="str">
        <f t="shared" si="23"/>
        <v/>
      </c>
      <c r="N103" s="35" t="str">
        <f t="shared" si="22"/>
        <v/>
      </c>
      <c r="O103" s="35"/>
      <c r="P103" s="35"/>
      <c r="Q103" s="238"/>
      <c r="S103" s="294"/>
      <c r="T103" s="9"/>
    </row>
    <row r="104" spans="1:20" ht="45" customHeight="1" x14ac:dyDescent="0.2">
      <c r="A104" s="189">
        <v>1</v>
      </c>
      <c r="B104" s="189">
        <f t="shared" ref="B104" si="24">IF(C104=TRUE,A104,0)</f>
        <v>0</v>
      </c>
      <c r="C104" s="189" t="b">
        <v>0</v>
      </c>
      <c r="F104" s="328"/>
      <c r="G104" s="330"/>
      <c r="H104" s="40">
        <v>24.2</v>
      </c>
      <c r="I104" s="100" t="s">
        <v>199</v>
      </c>
      <c r="J104" s="67">
        <f>IF(C104=FALSE,1,0)</f>
        <v>1</v>
      </c>
      <c r="K104" s="77"/>
      <c r="L104" s="33" t="str">
        <f>IF(AND(K104&gt;0,$K$102&lt;&gt;$Y$8),"!","")</f>
        <v/>
      </c>
      <c r="M104" s="34" t="str">
        <f t="shared" si="23"/>
        <v/>
      </c>
      <c r="N104" s="35" t="str">
        <f t="shared" si="22"/>
        <v/>
      </c>
      <c r="O104" s="35"/>
      <c r="P104" s="35"/>
      <c r="Q104" s="238"/>
      <c r="S104" s="294"/>
      <c r="T104" s="9"/>
    </row>
    <row r="105" spans="1:20" ht="45" customHeight="1" x14ac:dyDescent="0.2">
      <c r="F105" s="308" t="s">
        <v>128</v>
      </c>
      <c r="G105" s="310" t="s">
        <v>131</v>
      </c>
      <c r="H105" s="101">
        <v>25</v>
      </c>
      <c r="I105" s="102" t="s">
        <v>47</v>
      </c>
      <c r="J105" s="69">
        <v>1</v>
      </c>
      <c r="K105" s="103"/>
      <c r="L105" s="33"/>
      <c r="M105" s="34" t="str">
        <f t="shared" si="23"/>
        <v/>
      </c>
      <c r="N105" s="35" t="str">
        <f t="shared" si="22"/>
        <v/>
      </c>
      <c r="O105" s="35"/>
      <c r="P105" s="35"/>
      <c r="Q105" s="238"/>
      <c r="S105" s="294"/>
      <c r="T105" s="9"/>
    </row>
    <row r="106" spans="1:20" ht="45" customHeight="1" x14ac:dyDescent="0.2">
      <c r="F106" s="47" t="s">
        <v>70</v>
      </c>
      <c r="G106" s="47"/>
      <c r="H106" s="48"/>
      <c r="I106" s="47"/>
      <c r="J106" s="48">
        <f>SUM(J100:J105)</f>
        <v>6</v>
      </c>
      <c r="K106" s="48">
        <f>SUM(K100:K105)</f>
        <v>0</v>
      </c>
      <c r="L106" s="33" t="str">
        <f>IF(K106&gt;J106,"!","")</f>
        <v/>
      </c>
      <c r="M106" s="49">
        <f t="shared" ref="M106:N106" si="25">SUM(M100:M105)</f>
        <v>0</v>
      </c>
      <c r="N106" s="49">
        <f t="shared" si="25"/>
        <v>0</v>
      </c>
      <c r="O106" s="51"/>
      <c r="P106" s="51"/>
      <c r="Q106" s="240"/>
      <c r="R106" s="65"/>
      <c r="S106" s="298"/>
      <c r="T106" s="9"/>
    </row>
    <row r="107" spans="1:20" ht="45" customHeight="1" x14ac:dyDescent="0.25">
      <c r="L107" s="80"/>
      <c r="Q107" s="242"/>
    </row>
    <row r="108" spans="1:20" ht="45" customHeight="1" x14ac:dyDescent="0.2">
      <c r="F108" s="333" t="s">
        <v>6</v>
      </c>
      <c r="G108" s="333"/>
      <c r="H108" s="333"/>
      <c r="I108" s="333"/>
      <c r="J108" s="58">
        <f>5-SUM(B109:B114)</f>
        <v>5</v>
      </c>
      <c r="K108" s="58"/>
      <c r="L108" s="79"/>
      <c r="M108" s="204"/>
      <c r="N108" s="204"/>
      <c r="O108" s="204"/>
      <c r="P108" s="204"/>
      <c r="Q108" s="223"/>
      <c r="R108" s="36"/>
      <c r="S108" s="297"/>
      <c r="T108" s="73"/>
    </row>
    <row r="109" spans="1:20" ht="45" customHeight="1" x14ac:dyDescent="0.2">
      <c r="F109" s="327" t="s">
        <v>13</v>
      </c>
      <c r="G109" s="329" t="s">
        <v>133</v>
      </c>
      <c r="H109" s="97">
        <v>26.1</v>
      </c>
      <c r="I109" s="66" t="s">
        <v>295</v>
      </c>
      <c r="J109" s="38">
        <v>1</v>
      </c>
      <c r="K109" s="99"/>
      <c r="L109" s="75"/>
      <c r="M109" s="34" t="str">
        <f>IF(OR(Q109=$X$9,Q109=$X$10),K109,"")</f>
        <v/>
      </c>
      <c r="N109" s="35" t="str">
        <f t="shared" ref="N109:N114" si="26">IF(Q109=$X$11,K109,"")</f>
        <v/>
      </c>
      <c r="O109" s="35"/>
      <c r="P109" s="35"/>
      <c r="Q109" s="239"/>
      <c r="R109" s="9"/>
      <c r="S109" s="294"/>
      <c r="T109" s="9"/>
    </row>
    <row r="110" spans="1:20" ht="45" customHeight="1" x14ac:dyDescent="0.2">
      <c r="F110" s="328"/>
      <c r="G110" s="330"/>
      <c r="H110" s="40">
        <v>26.2</v>
      </c>
      <c r="I110" s="100" t="s">
        <v>200</v>
      </c>
      <c r="J110" s="67">
        <v>1</v>
      </c>
      <c r="K110" s="77"/>
      <c r="L110" s="75"/>
      <c r="M110" s="34" t="str">
        <f t="shared" ref="M110:M114" si="27">IF(OR(Q110=$X$9,Q110=$X$10),K110,"")</f>
        <v/>
      </c>
      <c r="N110" s="35" t="str">
        <f t="shared" si="26"/>
        <v/>
      </c>
      <c r="O110" s="35"/>
      <c r="P110" s="35"/>
      <c r="Q110" s="238"/>
      <c r="R110" s="9"/>
      <c r="S110" s="294"/>
      <c r="T110" s="9"/>
    </row>
    <row r="111" spans="1:20" ht="45" customHeight="1" x14ac:dyDescent="0.2">
      <c r="F111" s="328" t="s">
        <v>14</v>
      </c>
      <c r="G111" s="331" t="s">
        <v>134</v>
      </c>
      <c r="H111" s="40">
        <v>27</v>
      </c>
      <c r="I111" s="100" t="s">
        <v>201</v>
      </c>
      <c r="J111" s="67" t="s">
        <v>98</v>
      </c>
      <c r="K111" s="77"/>
      <c r="L111" s="75"/>
      <c r="M111" s="34" t="str">
        <f t="shared" si="27"/>
        <v/>
      </c>
      <c r="N111" s="35" t="str">
        <f t="shared" si="26"/>
        <v/>
      </c>
      <c r="O111" s="35"/>
      <c r="P111" s="35"/>
      <c r="Q111" s="238"/>
      <c r="R111" s="9"/>
      <c r="S111" s="294"/>
      <c r="T111" s="9"/>
    </row>
    <row r="112" spans="1:20" ht="45" customHeight="1" x14ac:dyDescent="0.2">
      <c r="F112" s="328"/>
      <c r="G112" s="330"/>
      <c r="H112" s="42">
        <v>27.1</v>
      </c>
      <c r="I112" s="100" t="s">
        <v>132</v>
      </c>
      <c r="J112" s="67">
        <v>1</v>
      </c>
      <c r="K112" s="77"/>
      <c r="L112" s="33" t="str">
        <f>IF(AND(K112&gt;0,$K111&lt;&gt;$Y$8),"!","")</f>
        <v/>
      </c>
      <c r="M112" s="34" t="str">
        <f t="shared" si="27"/>
        <v/>
      </c>
      <c r="N112" s="35" t="str">
        <f t="shared" si="26"/>
        <v/>
      </c>
      <c r="O112" s="35"/>
      <c r="P112" s="35"/>
      <c r="Q112" s="238"/>
      <c r="R112" s="9"/>
      <c r="S112" s="294"/>
      <c r="T112" s="9"/>
    </row>
    <row r="113" spans="2:21" ht="45" customHeight="1" x14ac:dyDescent="0.2">
      <c r="F113" s="305" t="s">
        <v>48</v>
      </c>
      <c r="G113" s="306" t="s">
        <v>135</v>
      </c>
      <c r="H113" s="40">
        <v>28</v>
      </c>
      <c r="I113" s="68" t="s">
        <v>202</v>
      </c>
      <c r="J113" s="67">
        <v>1</v>
      </c>
      <c r="K113" s="77"/>
      <c r="L113" s="75"/>
      <c r="M113" s="34" t="str">
        <f t="shared" si="27"/>
        <v/>
      </c>
      <c r="N113" s="35" t="str">
        <f t="shared" si="26"/>
        <v/>
      </c>
      <c r="O113" s="35"/>
      <c r="P113" s="35"/>
      <c r="Q113" s="238"/>
      <c r="R113" s="9"/>
      <c r="S113" s="294"/>
      <c r="T113" s="9"/>
    </row>
    <row r="114" spans="2:21" ht="45" customHeight="1" x14ac:dyDescent="0.2">
      <c r="F114" s="104" t="s">
        <v>49</v>
      </c>
      <c r="G114" s="310" t="s">
        <v>136</v>
      </c>
      <c r="H114" s="101">
        <v>29</v>
      </c>
      <c r="I114" s="68" t="s">
        <v>183</v>
      </c>
      <c r="J114" s="69">
        <v>1</v>
      </c>
      <c r="K114" s="103"/>
      <c r="L114" s="75"/>
      <c r="M114" s="34" t="str">
        <f t="shared" si="27"/>
        <v/>
      </c>
      <c r="N114" s="35" t="str">
        <f t="shared" si="26"/>
        <v/>
      </c>
      <c r="O114" s="35"/>
      <c r="P114" s="35"/>
      <c r="Q114" s="238"/>
      <c r="R114" s="9"/>
      <c r="S114" s="294"/>
      <c r="T114" s="9"/>
    </row>
    <row r="115" spans="2:21" ht="45" customHeight="1" x14ac:dyDescent="0.2">
      <c r="F115" s="47" t="s">
        <v>70</v>
      </c>
      <c r="G115" s="47"/>
      <c r="H115" s="48"/>
      <c r="I115" s="47"/>
      <c r="J115" s="48">
        <f>SUM(J109:J114)</f>
        <v>5</v>
      </c>
      <c r="K115" s="48">
        <f>SUM(K109:K114)</f>
        <v>0</v>
      </c>
      <c r="L115" s="33" t="str">
        <f>IF(K115&gt;J115,"!","")</f>
        <v/>
      </c>
      <c r="M115" s="49">
        <f t="shared" ref="M115:N115" si="28">SUM(M109:M114)</f>
        <v>0</v>
      </c>
      <c r="N115" s="49">
        <f t="shared" si="28"/>
        <v>0</v>
      </c>
      <c r="O115" s="105"/>
      <c r="P115" s="105"/>
      <c r="Q115" s="243"/>
      <c r="R115" s="9"/>
      <c r="S115" s="300"/>
      <c r="T115" s="9"/>
    </row>
    <row r="116" spans="2:21" ht="45" customHeight="1" x14ac:dyDescent="0.2">
      <c r="F116" s="106"/>
      <c r="G116" s="106"/>
      <c r="H116" s="105"/>
      <c r="I116" s="106"/>
      <c r="J116" s="105"/>
      <c r="K116" s="105"/>
      <c r="L116" s="79"/>
      <c r="M116" s="105"/>
      <c r="N116" s="105"/>
      <c r="O116" s="105"/>
      <c r="P116" s="105"/>
      <c r="Q116" s="243"/>
      <c r="R116" s="107"/>
      <c r="S116" s="300"/>
      <c r="T116" s="9"/>
    </row>
    <row r="117" spans="2:21" ht="45" customHeight="1" x14ac:dyDescent="0.2">
      <c r="F117" s="333" t="s">
        <v>18</v>
      </c>
      <c r="G117" s="333"/>
      <c r="H117" s="333"/>
      <c r="I117" s="333"/>
      <c r="J117" s="58">
        <v>10</v>
      </c>
      <c r="K117" s="108"/>
      <c r="L117" s="79"/>
      <c r="M117" s="109"/>
      <c r="N117" s="110"/>
      <c r="O117" s="110"/>
      <c r="P117" s="110"/>
      <c r="Q117" s="224"/>
      <c r="R117" s="111"/>
      <c r="S117" s="301"/>
      <c r="T117" s="73"/>
    </row>
    <row r="118" spans="2:21" ht="45" customHeight="1" x14ac:dyDescent="0.2">
      <c r="F118" s="307" t="s">
        <v>137</v>
      </c>
      <c r="G118" s="112" t="s">
        <v>142</v>
      </c>
      <c r="H118" s="38" t="s">
        <v>264</v>
      </c>
      <c r="I118" s="313" t="s">
        <v>137</v>
      </c>
      <c r="J118" s="332">
        <v>10</v>
      </c>
      <c r="K118" s="99"/>
      <c r="L118" s="75"/>
      <c r="M118" s="34" t="str">
        <f>IF(OR(Q118=$X$9,Q118=$X$10),K118,"")</f>
        <v/>
      </c>
      <c r="N118" s="35" t="str">
        <f t="shared" ref="N118:N122" si="29">IF(Q118=$X$11,K118,"")</f>
        <v/>
      </c>
      <c r="O118" s="35"/>
      <c r="P118" s="35"/>
      <c r="Q118" s="239"/>
      <c r="R118" s="111"/>
      <c r="S118" s="294"/>
      <c r="T118" s="9"/>
    </row>
    <row r="119" spans="2:21" ht="45" customHeight="1" x14ac:dyDescent="0.2">
      <c r="F119" s="305" t="s">
        <v>138</v>
      </c>
      <c r="G119" s="46" t="s">
        <v>143</v>
      </c>
      <c r="H119" s="67" t="s">
        <v>265</v>
      </c>
      <c r="I119" s="113" t="s">
        <v>138</v>
      </c>
      <c r="J119" s="332"/>
      <c r="K119" s="99"/>
      <c r="L119" s="75"/>
      <c r="M119" s="34" t="str">
        <f t="shared" ref="M119:M122" si="30">IF(OR(Q119=$X$9,Q119=$X$10),K119,"")</f>
        <v/>
      </c>
      <c r="N119" s="35" t="str">
        <f t="shared" si="29"/>
        <v/>
      </c>
      <c r="O119" s="35"/>
      <c r="P119" s="35"/>
      <c r="Q119" s="238"/>
      <c r="R119" s="111"/>
      <c r="S119" s="294"/>
      <c r="T119" s="9"/>
    </row>
    <row r="120" spans="2:21" ht="45" customHeight="1" x14ac:dyDescent="0.2">
      <c r="F120" s="305" t="s">
        <v>139</v>
      </c>
      <c r="G120" s="46" t="s">
        <v>144</v>
      </c>
      <c r="H120" s="67" t="s">
        <v>266</v>
      </c>
      <c r="I120" s="113" t="s">
        <v>139</v>
      </c>
      <c r="J120" s="332"/>
      <c r="K120" s="99"/>
      <c r="L120" s="75"/>
      <c r="M120" s="34" t="str">
        <f t="shared" si="30"/>
        <v/>
      </c>
      <c r="N120" s="35" t="str">
        <f t="shared" si="29"/>
        <v/>
      </c>
      <c r="O120" s="35"/>
      <c r="P120" s="35"/>
      <c r="Q120" s="238"/>
      <c r="R120" s="111"/>
      <c r="S120" s="294"/>
      <c r="T120" s="9"/>
    </row>
    <row r="121" spans="2:21" ht="45" customHeight="1" x14ac:dyDescent="0.2">
      <c r="F121" s="305" t="s">
        <v>140</v>
      </c>
      <c r="G121" s="46" t="s">
        <v>145</v>
      </c>
      <c r="H121" s="67" t="s">
        <v>267</v>
      </c>
      <c r="I121" s="113" t="s">
        <v>140</v>
      </c>
      <c r="J121" s="332"/>
      <c r="K121" s="99"/>
      <c r="L121" s="75"/>
      <c r="M121" s="34" t="str">
        <f t="shared" si="30"/>
        <v/>
      </c>
      <c r="N121" s="35" t="str">
        <f t="shared" si="29"/>
        <v/>
      </c>
      <c r="O121" s="35"/>
      <c r="P121" s="35"/>
      <c r="Q121" s="238"/>
      <c r="R121" s="111"/>
      <c r="S121" s="294"/>
      <c r="T121" s="9"/>
    </row>
    <row r="122" spans="2:21" ht="45" customHeight="1" x14ac:dyDescent="0.2">
      <c r="F122" s="308" t="s">
        <v>141</v>
      </c>
      <c r="G122" s="114" t="s">
        <v>146</v>
      </c>
      <c r="H122" s="69" t="s">
        <v>268</v>
      </c>
      <c r="I122" s="312" t="s">
        <v>141</v>
      </c>
      <c r="J122" s="332"/>
      <c r="K122" s="99"/>
      <c r="L122" s="75"/>
      <c r="M122" s="34" t="str">
        <f t="shared" si="30"/>
        <v/>
      </c>
      <c r="N122" s="35" t="str">
        <f t="shared" si="29"/>
        <v/>
      </c>
      <c r="O122" s="35"/>
      <c r="P122" s="35"/>
      <c r="Q122" s="238"/>
      <c r="R122" s="111"/>
      <c r="S122" s="294"/>
      <c r="T122" s="9"/>
    </row>
    <row r="123" spans="2:21" ht="45" customHeight="1" x14ac:dyDescent="0.2">
      <c r="F123" s="47" t="s">
        <v>70</v>
      </c>
      <c r="G123" s="47"/>
      <c r="H123" s="48"/>
      <c r="I123" s="47"/>
      <c r="J123" s="48">
        <f>SUM(J118)</f>
        <v>10</v>
      </c>
      <c r="K123" s="48">
        <f>IF(SUM(K118:K122)&gt;10,10,SUM(K118:K122))</f>
        <v>0</v>
      </c>
      <c r="L123" s="33" t="str">
        <f>IF(K123&gt;J123,"!","")</f>
        <v/>
      </c>
      <c r="M123" s="49">
        <f t="shared" ref="M123:N123" si="31">SUM(M118:M122)</f>
        <v>0</v>
      </c>
      <c r="N123" s="49">
        <f t="shared" si="31"/>
        <v>0</v>
      </c>
    </row>
    <row r="124" spans="2:21" ht="45" customHeight="1" x14ac:dyDescent="0.2">
      <c r="F124" s="70"/>
      <c r="G124" s="70"/>
      <c r="H124" s="6"/>
      <c r="I124" s="70"/>
      <c r="J124" s="6"/>
      <c r="K124" s="6"/>
      <c r="L124" s="9"/>
      <c r="M124" s="6"/>
      <c r="N124" s="6"/>
      <c r="O124" s="6"/>
      <c r="P124" s="6"/>
      <c r="U124" s="115"/>
    </row>
    <row r="125" spans="2:21" ht="45" customHeight="1" x14ac:dyDescent="0.2">
      <c r="B125" s="192" t="s">
        <v>214</v>
      </c>
      <c r="F125" s="143"/>
      <c r="G125" s="143"/>
      <c r="H125" s="144"/>
      <c r="I125" s="138" t="s">
        <v>207</v>
      </c>
      <c r="J125" s="14" t="s">
        <v>203</v>
      </c>
      <c r="K125" s="14" t="s">
        <v>204</v>
      </c>
      <c r="L125" s="157"/>
      <c r="M125" s="14" t="s">
        <v>209</v>
      </c>
      <c r="N125" s="14" t="s">
        <v>210</v>
      </c>
      <c r="S125" s="302"/>
      <c r="T125" s="73"/>
    </row>
    <row r="126" spans="2:21" ht="45" customHeight="1" x14ac:dyDescent="0.2">
      <c r="B126" s="189">
        <f>SUM(B7:B114)</f>
        <v>0</v>
      </c>
      <c r="F126" s="22"/>
      <c r="G126" s="22"/>
      <c r="H126" s="23"/>
      <c r="I126" s="24" t="s">
        <v>215</v>
      </c>
      <c r="J126" s="147">
        <f>100-B126</f>
        <v>100</v>
      </c>
      <c r="K126" s="148">
        <f>K24+K44+K65+K74+K83+K97+K106+K115</f>
        <v>0</v>
      </c>
      <c r="L126" s="157"/>
      <c r="M126" s="148">
        <f>(M24+M44+M65+M74+M83+M97+M106+M115)/$J$126*100+M123</f>
        <v>0</v>
      </c>
      <c r="N126" s="148">
        <f>(N24+N44+N65+N74+N83+N97+N106+N115)/$J$126*100+N123</f>
        <v>0</v>
      </c>
      <c r="S126" s="303"/>
      <c r="T126" s="9"/>
    </row>
    <row r="127" spans="2:21" ht="45" customHeight="1" x14ac:dyDescent="0.2">
      <c r="F127" s="22"/>
      <c r="G127" s="22"/>
      <c r="H127" s="158"/>
      <c r="I127" s="24" t="s">
        <v>220</v>
      </c>
      <c r="J127" s="145"/>
      <c r="K127" s="162">
        <f>K126/J126*100</f>
        <v>0</v>
      </c>
      <c r="L127" s="140"/>
      <c r="M127" s="157"/>
      <c r="N127" s="157"/>
      <c r="S127" s="303"/>
      <c r="T127" s="9"/>
    </row>
    <row r="128" spans="2:21" ht="45" customHeight="1" x14ac:dyDescent="0.2">
      <c r="F128" s="22"/>
      <c r="G128" s="22"/>
      <c r="H128" s="23"/>
      <c r="I128" s="24" t="s">
        <v>208</v>
      </c>
      <c r="J128" s="147">
        <v>10</v>
      </c>
      <c r="K128" s="148">
        <f>K123</f>
        <v>0</v>
      </c>
      <c r="L128" s="141"/>
      <c r="M128" s="157"/>
      <c r="N128" s="157"/>
      <c r="S128" s="303"/>
      <c r="T128" s="9"/>
    </row>
    <row r="129" spans="4:19" ht="45" customHeight="1" x14ac:dyDescent="0.2">
      <c r="I129" s="24" t="s">
        <v>216</v>
      </c>
      <c r="J129" s="146"/>
      <c r="K129" s="162">
        <f>K127+K128</f>
        <v>0</v>
      </c>
      <c r="L129" s="142"/>
      <c r="M129" s="157"/>
      <c r="N129" s="157"/>
      <c r="S129" s="304"/>
    </row>
    <row r="130" spans="4:19" x14ac:dyDescent="0.2">
      <c r="K130" s="116"/>
      <c r="L130" s="115"/>
      <c r="M130" s="116"/>
      <c r="N130" s="116"/>
      <c r="S130" s="304"/>
    </row>
    <row r="131" spans="4:19" x14ac:dyDescent="0.2">
      <c r="K131" s="116"/>
      <c r="L131" s="115"/>
      <c r="M131" s="116"/>
      <c r="N131" s="116"/>
      <c r="O131" s="116"/>
      <c r="P131" s="116"/>
      <c r="Q131" s="220"/>
      <c r="R131" s="115"/>
      <c r="S131" s="304"/>
    </row>
    <row r="132" spans="4:19" x14ac:dyDescent="0.2">
      <c r="K132" s="116"/>
      <c r="L132" s="115"/>
      <c r="M132" s="116"/>
      <c r="N132" s="116"/>
      <c r="O132" s="116"/>
      <c r="P132" s="116"/>
      <c r="Q132" s="220"/>
      <c r="R132" s="115"/>
      <c r="S132" s="304"/>
    </row>
    <row r="134" spans="4:19" ht="38.25" hidden="1" customHeight="1" x14ac:dyDescent="0.2">
      <c r="D134" s="8" t="s">
        <v>71</v>
      </c>
      <c r="O134" s="202" t="s">
        <v>272</v>
      </c>
      <c r="P134" s="269" t="s">
        <v>273</v>
      </c>
      <c r="Q134" s="205" t="s">
        <v>274</v>
      </c>
      <c r="R134" s="269" t="s">
        <v>275</v>
      </c>
    </row>
    <row r="135" spans="4:19" ht="38.25" hidden="1" customHeight="1" x14ac:dyDescent="0.2">
      <c r="D135" s="8" t="s">
        <v>71</v>
      </c>
      <c r="N135" s="284" t="s">
        <v>231</v>
      </c>
      <c r="O135" s="285"/>
      <c r="P135" s="280">
        <f>COUNTIF(P7:P114,"Core")</f>
        <v>0</v>
      </c>
      <c r="Q135" s="281">
        <f>COUNTIF(Q7:Q114,"Not Awarded - Major Non-compliance")</f>
        <v>0</v>
      </c>
      <c r="R135" s="286"/>
    </row>
    <row r="136" spans="4:19" ht="38.25" hidden="1" customHeight="1" x14ac:dyDescent="0.2">
      <c r="D136" s="8" t="s">
        <v>71</v>
      </c>
      <c r="N136" s="284" t="s">
        <v>228</v>
      </c>
      <c r="O136" s="280">
        <f>COUNTIF(O7:O114,"Stage 1")</f>
        <v>0</v>
      </c>
      <c r="P136" s="280">
        <f>COUNTIF(P7:P114,"Stage 1")</f>
        <v>0</v>
      </c>
      <c r="Q136" s="281">
        <f>COUNTIF(Q7:Q114,"Not Awarded - Major Non-compliance")</f>
        <v>0</v>
      </c>
      <c r="R136" s="282" t="str">
        <f>IF(Q136&gt;P136*0.5, "Go to Stage 2", "Assessment Complete")</f>
        <v>Assessment Complete</v>
      </c>
    </row>
    <row r="137" spans="4:19" ht="38.25" hidden="1" customHeight="1" x14ac:dyDescent="0.2">
      <c r="D137" s="8" t="s">
        <v>71</v>
      </c>
      <c r="N137" s="284" t="s">
        <v>229</v>
      </c>
      <c r="O137" s="280">
        <f>COUNTIF(O7:O114,"Stage 2")</f>
        <v>0</v>
      </c>
      <c r="P137" s="280">
        <f>COUNTIF(P7:P114,"Stage 2")</f>
        <v>0</v>
      </c>
      <c r="Q137" s="281">
        <f>COUNTIF(Q7:Q114,"Not Awarded - Major Non-compliance")</f>
        <v>0</v>
      </c>
      <c r="R137" s="282" t="str">
        <f>IF(AND(R136="Go to Stage 2", P137=0),R136,IF(Q137&gt;SUM(P136:P137)*0.5,"Go to Stage 3","Assessment Complete"))</f>
        <v>Assessment Complete</v>
      </c>
    </row>
    <row r="138" spans="4:19" ht="38.25" hidden="1" customHeight="1" x14ac:dyDescent="0.2">
      <c r="D138" s="8" t="s">
        <v>71</v>
      </c>
      <c r="N138" s="290" t="s">
        <v>230</v>
      </c>
      <c r="O138" s="280">
        <f>COUNTIF(O7:O114,"Stage 3")</f>
        <v>0</v>
      </c>
      <c r="P138" s="280">
        <f>COUNTIF(P7:P114,"Stage 3")</f>
        <v>0</v>
      </c>
      <c r="Q138" s="281">
        <f>COUNTIF(Q7:Q114,"Not Awarded - Major Non-compliance")</f>
        <v>0</v>
      </c>
      <c r="R138" s="287"/>
    </row>
    <row r="139" spans="4:19" ht="38.25" hidden="1" customHeight="1" x14ac:dyDescent="0.2">
      <c r="D139" s="8" t="s">
        <v>71</v>
      </c>
      <c r="O139" s="288"/>
      <c r="P139" s="289"/>
      <c r="Q139" s="283">
        <f>COUNTIF(Q7:Q114,"Awarded - Compliant")+COUNTIF(Q7:Q114,"Awarded - Minor non-Compliance")+COUNTIF(Q7:Q114,"Not Awarded - Major non-compliance")</f>
        <v>0</v>
      </c>
      <c r="R139" s="282" t="str">
        <f>IF(R136="Assessment Complete",R136,IF(R137="Assessment Complete",R137,IF(P135&gt;=1,R137,"Assessment Complete")))</f>
        <v>Assessment Complete</v>
      </c>
    </row>
    <row r="140" spans="4:19" x14ac:dyDescent="0.2">
      <c r="O140" s="200"/>
      <c r="P140" s="200"/>
      <c r="Q140" s="221"/>
      <c r="R140" s="201"/>
    </row>
  </sheetData>
  <sheetProtection algorithmName="SHA-512" hashValue="4vV8SeYngHUQIdrhd5NJ0byD9bWvXghS4vstnu8MQzzZ4WWVt71moZqrDnsopeXEiqn9pbMvuzyoQTulXY7QCg==" saltValue="LheYIWCPfSHJ97m45xHt4w==" spinCount="100000" sheet="1" objects="1" scenarios="1"/>
  <mergeCells count="58">
    <mergeCell ref="J118:J122"/>
    <mergeCell ref="F108:I108"/>
    <mergeCell ref="F109:F110"/>
    <mergeCell ref="G109:G110"/>
    <mergeCell ref="F111:F112"/>
    <mergeCell ref="G111:G112"/>
    <mergeCell ref="F117:I117"/>
    <mergeCell ref="F99:I99"/>
    <mergeCell ref="M99:N99"/>
    <mergeCell ref="F100:F101"/>
    <mergeCell ref="G100:G101"/>
    <mergeCell ref="F102:F104"/>
    <mergeCell ref="G102:G104"/>
    <mergeCell ref="F86:F90"/>
    <mergeCell ref="G86:G90"/>
    <mergeCell ref="L88:L90"/>
    <mergeCell ref="F91:F93"/>
    <mergeCell ref="G91:G93"/>
    <mergeCell ref="F95:F96"/>
    <mergeCell ref="G95:G96"/>
    <mergeCell ref="F63:F64"/>
    <mergeCell ref="G63:G64"/>
    <mergeCell ref="F68:F73"/>
    <mergeCell ref="G68:G73"/>
    <mergeCell ref="F77:F82"/>
    <mergeCell ref="G77:G82"/>
    <mergeCell ref="F42:F43"/>
    <mergeCell ref="G42:G43"/>
    <mergeCell ref="F46:I46"/>
    <mergeCell ref="F47:F62"/>
    <mergeCell ref="G47:G62"/>
    <mergeCell ref="L47:L54"/>
    <mergeCell ref="F33:F36"/>
    <mergeCell ref="G33:G36"/>
    <mergeCell ref="F37:F39"/>
    <mergeCell ref="G37:G39"/>
    <mergeCell ref="F40:F41"/>
    <mergeCell ref="G40:G41"/>
    <mergeCell ref="F22:F23"/>
    <mergeCell ref="G22:G23"/>
    <mergeCell ref="F26:I26"/>
    <mergeCell ref="F27:F29"/>
    <mergeCell ref="G27:G29"/>
    <mergeCell ref="F30:F32"/>
    <mergeCell ref="G30:G32"/>
    <mergeCell ref="F16:F17"/>
    <mergeCell ref="G16:G17"/>
    <mergeCell ref="F18:F19"/>
    <mergeCell ref="G18:G19"/>
    <mergeCell ref="F20:F21"/>
    <mergeCell ref="G20:G21"/>
    <mergeCell ref="F1:I1"/>
    <mergeCell ref="G2:H2"/>
    <mergeCell ref="G3:H3"/>
    <mergeCell ref="F8:F12"/>
    <mergeCell ref="G8:G12"/>
    <mergeCell ref="F14:F15"/>
    <mergeCell ref="G14:G15"/>
  </mergeCells>
  <conditionalFormatting sqref="H25:J25">
    <cfRule type="expression" dxfId="50" priority="51">
      <formula>#REF!=0</formula>
    </cfRule>
  </conditionalFormatting>
  <conditionalFormatting sqref="G65">
    <cfRule type="expression" dxfId="49" priority="50">
      <formula>$J$64=0</formula>
    </cfRule>
  </conditionalFormatting>
  <conditionalFormatting sqref="K21">
    <cfRule type="expression" dxfId="48" priority="49">
      <formula>$G$20=$I$21</formula>
    </cfRule>
  </conditionalFormatting>
  <conditionalFormatting sqref="H68:J68">
    <cfRule type="expression" dxfId="47" priority="48">
      <formula>$G$68=$V$68</formula>
    </cfRule>
  </conditionalFormatting>
  <conditionalFormatting sqref="K68">
    <cfRule type="expression" dxfId="46" priority="47">
      <formula>$G$68=$V$68</formula>
    </cfRule>
  </conditionalFormatting>
  <conditionalFormatting sqref="H69:J73">
    <cfRule type="expression" dxfId="45" priority="46">
      <formula>$G$68=$V$69</formula>
    </cfRule>
  </conditionalFormatting>
  <conditionalFormatting sqref="K69:K73">
    <cfRule type="expression" dxfId="44" priority="45">
      <formula>$G$68=$V$69</formula>
    </cfRule>
  </conditionalFormatting>
  <conditionalFormatting sqref="H77:J77">
    <cfRule type="expression" dxfId="43" priority="44">
      <formula>$G$77=$V$77</formula>
    </cfRule>
  </conditionalFormatting>
  <conditionalFormatting sqref="H78:J82">
    <cfRule type="expression" dxfId="42" priority="43">
      <formula>$G$77=$V$78</formula>
    </cfRule>
  </conditionalFormatting>
  <conditionalFormatting sqref="S7:S8 S10:S23 S86:S96">
    <cfRule type="expression" dxfId="41" priority="42">
      <formula>Q7=$X$11</formula>
    </cfRule>
  </conditionalFormatting>
  <conditionalFormatting sqref="S9">
    <cfRule type="expression" dxfId="40" priority="41">
      <formula>Q9=$X$11</formula>
    </cfRule>
  </conditionalFormatting>
  <conditionalFormatting sqref="S27:S43">
    <cfRule type="expression" dxfId="39" priority="40">
      <formula>Q27=$X$11</formula>
    </cfRule>
  </conditionalFormatting>
  <conditionalFormatting sqref="S47:S64">
    <cfRule type="expression" dxfId="38" priority="39">
      <formula>Q47=$X$11</formula>
    </cfRule>
  </conditionalFormatting>
  <conditionalFormatting sqref="S68:S73">
    <cfRule type="expression" dxfId="37" priority="38">
      <formula>Q68=$X$11</formula>
    </cfRule>
  </conditionalFormatting>
  <conditionalFormatting sqref="S77:S82">
    <cfRule type="expression" dxfId="36" priority="37">
      <formula>Q77=$X$11</formula>
    </cfRule>
  </conditionalFormatting>
  <conditionalFormatting sqref="S100:S105">
    <cfRule type="expression" dxfId="35" priority="36">
      <formula>Q100=$X$11</formula>
    </cfRule>
  </conditionalFormatting>
  <conditionalFormatting sqref="S109:S114">
    <cfRule type="expression" dxfId="34" priority="35">
      <formula>Q109=$X$11</formula>
    </cfRule>
  </conditionalFormatting>
  <conditionalFormatting sqref="S118:S122">
    <cfRule type="expression" dxfId="33" priority="34">
      <formula>Q118=$X$11</formula>
    </cfRule>
  </conditionalFormatting>
  <conditionalFormatting sqref="K111">
    <cfRule type="expression" dxfId="32" priority="33">
      <formula>$G$47=$V$50</formula>
    </cfRule>
  </conditionalFormatting>
  <conditionalFormatting sqref="K78:K82">
    <cfRule type="expression" dxfId="31" priority="32">
      <formula>$G$77=$V$78</formula>
    </cfRule>
  </conditionalFormatting>
  <conditionalFormatting sqref="K77">
    <cfRule type="expression" dxfId="30" priority="31">
      <formula>$G$77=$V$77</formula>
    </cfRule>
  </conditionalFormatting>
  <conditionalFormatting sqref="K109:K110">
    <cfRule type="expression" dxfId="29" priority="30">
      <formula>$G$85=$V$86</formula>
    </cfRule>
  </conditionalFormatting>
  <conditionalFormatting sqref="K112:K114">
    <cfRule type="expression" dxfId="28" priority="29">
      <formula>$G$85=$V$86</formula>
    </cfRule>
  </conditionalFormatting>
  <conditionalFormatting sqref="K118:K122">
    <cfRule type="expression" dxfId="27" priority="28">
      <formula>$G$85=$V$86</formula>
    </cfRule>
  </conditionalFormatting>
  <conditionalFormatting sqref="H86:K87">
    <cfRule type="expression" dxfId="26" priority="27">
      <formula>$G$86=$V$87</formula>
    </cfRule>
  </conditionalFormatting>
  <conditionalFormatting sqref="H88:K90">
    <cfRule type="expression" dxfId="25" priority="26">
      <formula>$G$86=$V$86</formula>
    </cfRule>
  </conditionalFormatting>
  <conditionalFormatting sqref="H47:K54">
    <cfRule type="expression" dxfId="24" priority="25">
      <formula>$G$47&lt;&gt;$V$47</formula>
    </cfRule>
  </conditionalFormatting>
  <conditionalFormatting sqref="H55:K56">
    <cfRule type="expression" dxfId="23" priority="24">
      <formula>$G$47&lt;&gt;$V$48</formula>
    </cfRule>
  </conditionalFormatting>
  <conditionalFormatting sqref="H57:K58">
    <cfRule type="expression" dxfId="22" priority="23">
      <formula>$G$47&lt;&gt;$V$49</formula>
    </cfRule>
  </conditionalFormatting>
  <conditionalFormatting sqref="H27:K27 K28:K43">
    <cfRule type="expression" dxfId="21" priority="22">
      <formula>$C27=TRUE</formula>
    </cfRule>
  </conditionalFormatting>
  <conditionalFormatting sqref="H28:J28">
    <cfRule type="expression" dxfId="20" priority="21">
      <formula>$C28=TRUE</formula>
    </cfRule>
  </conditionalFormatting>
  <conditionalFormatting sqref="H29:J32">
    <cfRule type="expression" dxfId="19" priority="20">
      <formula>$C29=TRUE</formula>
    </cfRule>
  </conditionalFormatting>
  <conditionalFormatting sqref="H34:J36">
    <cfRule type="expression" dxfId="18" priority="19">
      <formula>$C34=TRUE</formula>
    </cfRule>
  </conditionalFormatting>
  <conditionalFormatting sqref="H38:J43">
    <cfRule type="expression" dxfId="17" priority="18">
      <formula>$C38=TRUE</formula>
    </cfRule>
  </conditionalFormatting>
  <conditionalFormatting sqref="H70:K70">
    <cfRule type="expression" dxfId="16" priority="17">
      <formula>$C$70=TRUE</formula>
    </cfRule>
  </conditionalFormatting>
  <conditionalFormatting sqref="H71:K71">
    <cfRule type="expression" dxfId="15" priority="16">
      <formula>$C$71=TRUE</formula>
    </cfRule>
  </conditionalFormatting>
  <conditionalFormatting sqref="H81:K81">
    <cfRule type="expression" dxfId="14" priority="15">
      <formula>$C$81=TRUE</formula>
    </cfRule>
  </conditionalFormatting>
  <conditionalFormatting sqref="H82:K82">
    <cfRule type="expression" dxfId="13" priority="14">
      <formula>$C$82=TRUE</formula>
    </cfRule>
  </conditionalFormatting>
  <conditionalFormatting sqref="H104:K104">
    <cfRule type="expression" dxfId="12" priority="13">
      <formula>$C$104=TRUE</formula>
    </cfRule>
  </conditionalFormatting>
  <conditionalFormatting sqref="H90:K90">
    <cfRule type="expression" dxfId="11" priority="12">
      <formula>$C$90=TRUE</formula>
    </cfRule>
  </conditionalFormatting>
  <conditionalFormatting sqref="H91:K91">
    <cfRule type="expression" dxfId="10" priority="11">
      <formula>$C$91=TRUE</formula>
    </cfRule>
  </conditionalFormatting>
  <conditionalFormatting sqref="H92:K92">
    <cfRule type="expression" dxfId="9" priority="10">
      <formula>$C$92=TRUE</formula>
    </cfRule>
  </conditionalFormatting>
  <conditionalFormatting sqref="H93:K93">
    <cfRule type="expression" dxfId="8" priority="9">
      <formula>$C$93=TRUE</formula>
    </cfRule>
  </conditionalFormatting>
  <conditionalFormatting sqref="H22:K22">
    <cfRule type="expression" dxfId="7" priority="8">
      <formula>$G$22=$V$9</formula>
    </cfRule>
  </conditionalFormatting>
  <conditionalFormatting sqref="H23:K23">
    <cfRule type="expression" dxfId="6" priority="7">
      <formula>$G$22=$V$8</formula>
    </cfRule>
  </conditionalFormatting>
  <conditionalFormatting sqref="H61:K62">
    <cfRule type="expression" dxfId="5" priority="6">
      <formula>$G$47&lt;&gt;$V$51</formula>
    </cfRule>
  </conditionalFormatting>
  <conditionalFormatting sqref="H59:K60">
    <cfRule type="expression" dxfId="4" priority="5">
      <formula>$G$47&lt;&gt;$V$50</formula>
    </cfRule>
  </conditionalFormatting>
  <conditionalFormatting sqref="H63:K63">
    <cfRule type="expression" dxfId="3" priority="4">
      <formula>$G$63=$V$64</formula>
    </cfRule>
  </conditionalFormatting>
  <conditionalFormatting sqref="H64:K64">
    <cfRule type="expression" dxfId="2" priority="3">
      <formula>$G$63=$V$63</formula>
    </cfRule>
  </conditionalFormatting>
  <conditionalFormatting sqref="H95:K95">
    <cfRule type="expression" dxfId="1" priority="2">
      <formula>$G$95=$V$96</formula>
    </cfRule>
  </conditionalFormatting>
  <conditionalFormatting sqref="H96:K96">
    <cfRule type="expression" dxfId="0" priority="1">
      <formula>$G$95=$V$95</formula>
    </cfRule>
  </conditionalFormatting>
  <dataValidations count="21">
    <dataValidation type="list" allowBlank="1" showInputMessage="1" showErrorMessage="1" promptTitle="Selection Required" prompt="Please indicate the project's desired pathway." sqref="G95:G96">
      <formula1>$V$95:$V$96</formula1>
    </dataValidation>
    <dataValidation type="decimal" operator="lessThanOrEqual" allowBlank="1" showInputMessage="1" showErrorMessage="1" sqref="K22:K23">
      <formula1>1</formula1>
    </dataValidation>
    <dataValidation type="list" allowBlank="1" showInputMessage="1" showErrorMessage="1" sqref="G66">
      <formula1>$V$63:$V$63</formula1>
    </dataValidation>
    <dataValidation type="list" allowBlank="1" showInputMessage="1" showErrorMessage="1" promptTitle="Selection Required" prompt="Please indicate the project's desired pathway." sqref="G63:G64">
      <formula1>$V$63:$V$64</formula1>
    </dataValidation>
    <dataValidation type="list" allowBlank="1" showInputMessage="1" showErrorMessage="1" promptTitle="Selection Required" prompt="Please indicate the project's desired pathway." sqref="G47:G62">
      <formula1>$V$47:$V$51</formula1>
    </dataValidation>
    <dataValidation type="list" allowBlank="1" showInputMessage="1" showErrorMessage="1" promptTitle="Selection Required" prompt="Please indicate the project's desired pathway." sqref="G22:G23">
      <formula1>$V$8:$V$9</formula1>
    </dataValidation>
    <dataValidation type="list" allowBlank="1" showInputMessage="1" showErrorMessage="1" sqref="O109:O114 O27:O43 O47:O64 O68:O73 O77:O82 O86:O96 O100:O105 O7:O23">
      <formula1>$W$10:$W$12</formula1>
    </dataValidation>
    <dataValidation type="list" allowBlank="1" showInputMessage="1" showErrorMessage="1" sqref="O118:P122">
      <formula1>$W$10</formula1>
    </dataValidation>
    <dataValidation type="list" allowBlank="1" showInputMessage="1" showErrorMessage="1" sqref="P100:P105 P109:P114 P27:P43 P47:P64 P68:P73 P77:P82 P86:P96 P7:P23">
      <formula1>$W$9:$W$12</formula1>
    </dataValidation>
    <dataValidation type="decimal" operator="lessThanOrEqual" allowBlank="1" showInputMessage="1" showErrorMessage="1" sqref="K118:K122">
      <formula1>10</formula1>
    </dataValidation>
    <dataValidation type="list" allowBlank="1" showInputMessage="1" showErrorMessage="1" promptTitle="Selection Required" prompt="Please indicate the project's desired pathway." sqref="G86:G90">
      <formula1>$V$86:$V$87</formula1>
    </dataValidation>
    <dataValidation type="list" allowBlank="1" showInputMessage="1" showErrorMessage="1" sqref="Q118:Q122 Q7:Q23 Q27:Q43 Q47:Q64 Q68:Q73 Q77:Q82 Q86:Q96 Q100:Q105 Q109:Q114">
      <formula1>$X$9:$X$11</formula1>
    </dataValidation>
    <dataValidation type="list" allowBlank="1" showInputMessage="1" showErrorMessage="1" sqref="K57 K18 K20 K102 K8 K47 K111 K100 K59 K55 K61">
      <formula1>$Y$7:$Y$9</formula1>
    </dataValidation>
    <dataValidation type="list" allowBlank="1" showInputMessage="1" showErrorMessage="1" sqref="G84">
      <formula1>$T$77:$T$78</formula1>
    </dataValidation>
    <dataValidation type="list" allowBlank="1" showInputMessage="1" showErrorMessage="1" sqref="G25">
      <formula1>$T$23:$T$23</formula1>
    </dataValidation>
    <dataValidation type="decimal" allowBlank="1" showInputMessage="1" showErrorMessage="1" sqref="K9:K17 K19 K7 K21">
      <formula1>0</formula1>
      <formula2>J7</formula2>
    </dataValidation>
    <dataValidation type="list" allowBlank="1" showInputMessage="1" showErrorMessage="1" sqref="G75">
      <formula1>$V$68:$V$69</formula1>
    </dataValidation>
    <dataValidation type="list" allowBlank="1" showInputMessage="1" showErrorMessage="1" promptTitle="Selection Required" prompt="Please indicate the project's desired pathway." sqref="G68:G73">
      <formula1>$V$68:$V$69</formula1>
    </dataValidation>
    <dataValidation type="list" allowBlank="1" showInputMessage="1" showErrorMessage="1" promptTitle="Selection Required" prompt="Please indicate the project's desired pathway." sqref="G77:G82">
      <formula1>$V$77:$V$78</formula1>
    </dataValidation>
    <dataValidation type="decimal" operator="lessThanOrEqual" allowBlank="1" showInputMessage="1" showErrorMessage="1" sqref="K112:K114 K123 K103:K105 K62:K64 K38:K43 K68:K73 K77:K82 K109:K110 K101 K27:K32 K34:K36 K86:K96 K48:K54 K56 K58 K60">
      <formula1>J27</formula1>
    </dataValidation>
    <dataValidation type="list" operator="lessThanOrEqual" allowBlank="1" showInputMessage="1" showErrorMessage="1" sqref="K33 K37">
      <formula1>$Y$7:$Y$9</formula1>
    </dataValidation>
  </dataValidations>
  <pageMargins left="0.70866141732283472" right="0.70866141732283472" top="0.74803149606299213" bottom="0.74803149606299213" header="0.31496062992125984" footer="0.31496062992125984"/>
  <pageSetup paperSize="9" scale="5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4</xdr:col>
                    <xdr:colOff>38100</xdr:colOff>
                    <xdr:row>27</xdr:row>
                    <xdr:rowOff>171450</xdr:rowOff>
                  </from>
                  <to>
                    <xdr:col>5</xdr:col>
                    <xdr:colOff>561975</xdr:colOff>
                    <xdr:row>27</xdr:row>
                    <xdr:rowOff>381000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4</xdr:col>
                    <xdr:colOff>38100</xdr:colOff>
                    <xdr:row>26</xdr:row>
                    <xdr:rowOff>180975</xdr:rowOff>
                  </from>
                  <to>
                    <xdr:col>5</xdr:col>
                    <xdr:colOff>561975</xdr:colOff>
                    <xdr:row>26</xdr:row>
                    <xdr:rowOff>390525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4</xdr:col>
                    <xdr:colOff>38100</xdr:colOff>
                    <xdr:row>28</xdr:row>
                    <xdr:rowOff>171450</xdr:rowOff>
                  </from>
                  <to>
                    <xdr:col>5</xdr:col>
                    <xdr:colOff>561975</xdr:colOff>
                    <xdr:row>28</xdr:row>
                    <xdr:rowOff>381000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4</xdr:col>
                    <xdr:colOff>38100</xdr:colOff>
                    <xdr:row>29</xdr:row>
                    <xdr:rowOff>171450</xdr:rowOff>
                  </from>
                  <to>
                    <xdr:col>5</xdr:col>
                    <xdr:colOff>561975</xdr:colOff>
                    <xdr:row>29</xdr:row>
                    <xdr:rowOff>381000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4</xdr:col>
                    <xdr:colOff>38100</xdr:colOff>
                    <xdr:row>30</xdr:row>
                    <xdr:rowOff>171450</xdr:rowOff>
                  </from>
                  <to>
                    <xdr:col>5</xdr:col>
                    <xdr:colOff>561975</xdr:colOff>
                    <xdr:row>30</xdr:row>
                    <xdr:rowOff>381000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4</xdr:col>
                    <xdr:colOff>38100</xdr:colOff>
                    <xdr:row>31</xdr:row>
                    <xdr:rowOff>171450</xdr:rowOff>
                  </from>
                  <to>
                    <xdr:col>5</xdr:col>
                    <xdr:colOff>561975</xdr:colOff>
                    <xdr:row>31</xdr:row>
                    <xdr:rowOff>381000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4</xdr:col>
                    <xdr:colOff>38100</xdr:colOff>
                    <xdr:row>33</xdr:row>
                    <xdr:rowOff>171450</xdr:rowOff>
                  </from>
                  <to>
                    <xdr:col>5</xdr:col>
                    <xdr:colOff>561975</xdr:colOff>
                    <xdr:row>33</xdr:row>
                    <xdr:rowOff>381000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4</xdr:col>
                    <xdr:colOff>38100</xdr:colOff>
                    <xdr:row>34</xdr:row>
                    <xdr:rowOff>171450</xdr:rowOff>
                  </from>
                  <to>
                    <xdr:col>5</xdr:col>
                    <xdr:colOff>561975</xdr:colOff>
                    <xdr:row>34</xdr:row>
                    <xdr:rowOff>381000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4</xdr:col>
                    <xdr:colOff>38100</xdr:colOff>
                    <xdr:row>35</xdr:row>
                    <xdr:rowOff>171450</xdr:rowOff>
                  </from>
                  <to>
                    <xdr:col>5</xdr:col>
                    <xdr:colOff>561975</xdr:colOff>
                    <xdr:row>35</xdr:row>
                    <xdr:rowOff>381000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4</xdr:col>
                    <xdr:colOff>38100</xdr:colOff>
                    <xdr:row>37</xdr:row>
                    <xdr:rowOff>171450</xdr:rowOff>
                  </from>
                  <to>
                    <xdr:col>5</xdr:col>
                    <xdr:colOff>561975</xdr:colOff>
                    <xdr:row>37</xdr:row>
                    <xdr:rowOff>381000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4</xdr:col>
                    <xdr:colOff>38100</xdr:colOff>
                    <xdr:row>38</xdr:row>
                    <xdr:rowOff>171450</xdr:rowOff>
                  </from>
                  <to>
                    <xdr:col>5</xdr:col>
                    <xdr:colOff>561975</xdr:colOff>
                    <xdr:row>38</xdr:row>
                    <xdr:rowOff>381000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4</xdr:col>
                    <xdr:colOff>38100</xdr:colOff>
                    <xdr:row>39</xdr:row>
                    <xdr:rowOff>171450</xdr:rowOff>
                  </from>
                  <to>
                    <xdr:col>5</xdr:col>
                    <xdr:colOff>561975</xdr:colOff>
                    <xdr:row>39</xdr:row>
                    <xdr:rowOff>381000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4</xdr:col>
                    <xdr:colOff>38100</xdr:colOff>
                    <xdr:row>40</xdr:row>
                    <xdr:rowOff>171450</xdr:rowOff>
                  </from>
                  <to>
                    <xdr:col>5</xdr:col>
                    <xdr:colOff>561975</xdr:colOff>
                    <xdr:row>40</xdr:row>
                    <xdr:rowOff>381000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4</xdr:col>
                    <xdr:colOff>38100</xdr:colOff>
                    <xdr:row>41</xdr:row>
                    <xdr:rowOff>171450</xdr:rowOff>
                  </from>
                  <to>
                    <xdr:col>5</xdr:col>
                    <xdr:colOff>561975</xdr:colOff>
                    <xdr:row>41</xdr:row>
                    <xdr:rowOff>381000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4</xdr:col>
                    <xdr:colOff>38100</xdr:colOff>
                    <xdr:row>42</xdr:row>
                    <xdr:rowOff>171450</xdr:rowOff>
                  </from>
                  <to>
                    <xdr:col>5</xdr:col>
                    <xdr:colOff>561975</xdr:colOff>
                    <xdr:row>42</xdr:row>
                    <xdr:rowOff>381000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4</xdr:col>
                    <xdr:colOff>38100</xdr:colOff>
                    <xdr:row>69</xdr:row>
                    <xdr:rowOff>171450</xdr:rowOff>
                  </from>
                  <to>
                    <xdr:col>5</xdr:col>
                    <xdr:colOff>561975</xdr:colOff>
                    <xdr:row>69</xdr:row>
                    <xdr:rowOff>381000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4</xdr:col>
                    <xdr:colOff>38100</xdr:colOff>
                    <xdr:row>70</xdr:row>
                    <xdr:rowOff>171450</xdr:rowOff>
                  </from>
                  <to>
                    <xdr:col>5</xdr:col>
                    <xdr:colOff>561975</xdr:colOff>
                    <xdr:row>70</xdr:row>
                    <xdr:rowOff>381000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4</xdr:col>
                    <xdr:colOff>38100</xdr:colOff>
                    <xdr:row>80</xdr:row>
                    <xdr:rowOff>171450</xdr:rowOff>
                  </from>
                  <to>
                    <xdr:col>5</xdr:col>
                    <xdr:colOff>561975</xdr:colOff>
                    <xdr:row>80</xdr:row>
                    <xdr:rowOff>381000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4</xdr:col>
                    <xdr:colOff>38100</xdr:colOff>
                    <xdr:row>81</xdr:row>
                    <xdr:rowOff>171450</xdr:rowOff>
                  </from>
                  <to>
                    <xdr:col>5</xdr:col>
                    <xdr:colOff>561975</xdr:colOff>
                    <xdr:row>81</xdr:row>
                    <xdr:rowOff>381000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4</xdr:col>
                    <xdr:colOff>38100</xdr:colOff>
                    <xdr:row>103</xdr:row>
                    <xdr:rowOff>171450</xdr:rowOff>
                  </from>
                  <to>
                    <xdr:col>5</xdr:col>
                    <xdr:colOff>561975</xdr:colOff>
                    <xdr:row>103</xdr:row>
                    <xdr:rowOff>381000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4</xdr:col>
                    <xdr:colOff>38100</xdr:colOff>
                    <xdr:row>90</xdr:row>
                    <xdr:rowOff>171450</xdr:rowOff>
                  </from>
                  <to>
                    <xdr:col>5</xdr:col>
                    <xdr:colOff>561975</xdr:colOff>
                    <xdr:row>90</xdr:row>
                    <xdr:rowOff>381000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4</xdr:col>
                    <xdr:colOff>38100</xdr:colOff>
                    <xdr:row>91</xdr:row>
                    <xdr:rowOff>171450</xdr:rowOff>
                  </from>
                  <to>
                    <xdr:col>5</xdr:col>
                    <xdr:colOff>561975</xdr:colOff>
                    <xdr:row>91</xdr:row>
                    <xdr:rowOff>381000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4</xdr:col>
                    <xdr:colOff>38100</xdr:colOff>
                    <xdr:row>92</xdr:row>
                    <xdr:rowOff>171450</xdr:rowOff>
                  </from>
                  <to>
                    <xdr:col>5</xdr:col>
                    <xdr:colOff>561975</xdr:colOff>
                    <xdr:row>92</xdr:row>
                    <xdr:rowOff>381000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39"/>
  <sheetViews>
    <sheetView showGridLines="0" showRowColHeaders="0" topLeftCell="D1" zoomScale="70" zoomScaleNormal="70" workbookViewId="0">
      <pane ySplit="5" topLeftCell="A6" activePane="bottomLeft" state="frozen"/>
      <selection pane="bottomLeft" activeCell="K7" sqref="K7"/>
    </sheetView>
  </sheetViews>
  <sheetFormatPr defaultRowHeight="14.25" x14ac:dyDescent="0.2"/>
  <cols>
    <col min="1" max="3" width="9" style="189" hidden="1" customWidth="1"/>
    <col min="4" max="4" width="2.75" style="189" customWidth="1"/>
    <col min="5" max="5" width="4" style="189" customWidth="1"/>
    <col min="6" max="6" width="24" style="10" customWidth="1"/>
    <col min="7" max="7" width="47.875" style="10" customWidth="1"/>
    <col min="8" max="8" width="9.625" style="8" customWidth="1"/>
    <col min="9" max="9" width="42.875" style="10" customWidth="1"/>
    <col min="10" max="11" width="14" style="8" customWidth="1"/>
    <col min="12" max="12" width="14" style="11" customWidth="1"/>
    <col min="13" max="15" width="47.875" style="261" customWidth="1"/>
    <col min="16" max="16" width="47.875" style="11" customWidth="1"/>
    <col min="17" max="17" width="31.25" style="11" hidden="1" customWidth="1"/>
    <col min="18" max="18" width="9" style="11" hidden="1" customWidth="1"/>
    <col min="19" max="20" width="15.75" style="11" hidden="1" customWidth="1"/>
    <col min="21" max="21" width="9" style="11" hidden="1" customWidth="1"/>
    <col min="22" max="22" width="24.125" style="11" hidden="1" customWidth="1"/>
    <col min="23" max="25" width="14.125" style="11" hidden="1" customWidth="1"/>
    <col min="26" max="26" width="11.625" style="11" hidden="1" customWidth="1"/>
    <col min="27" max="28" width="14.125" style="11" hidden="1" customWidth="1"/>
    <col min="29" max="29" width="0" style="11" hidden="1" customWidth="1"/>
    <col min="30" max="16384" width="9" style="11"/>
  </cols>
  <sheetData>
    <row r="1" spans="1:29" ht="43.5" customHeight="1" x14ac:dyDescent="0.7">
      <c r="A1" s="189" t="s">
        <v>71</v>
      </c>
      <c r="B1" s="189" t="s">
        <v>71</v>
      </c>
      <c r="C1" s="189" t="s">
        <v>71</v>
      </c>
      <c r="F1" s="361" t="s">
        <v>91</v>
      </c>
      <c r="G1" s="362"/>
      <c r="H1" s="362"/>
      <c r="I1" s="362"/>
      <c r="J1" s="6"/>
      <c r="K1" s="6"/>
      <c r="L1" s="7"/>
      <c r="M1" s="248"/>
      <c r="N1" s="249"/>
      <c r="O1" s="249"/>
      <c r="Q1" s="11" t="s">
        <v>71</v>
      </c>
      <c r="R1" s="11" t="s">
        <v>71</v>
      </c>
      <c r="S1" s="11" t="s">
        <v>71</v>
      </c>
      <c r="T1" s="11" t="s">
        <v>71</v>
      </c>
      <c r="U1" s="11" t="s">
        <v>71</v>
      </c>
      <c r="V1" s="11" t="s">
        <v>71</v>
      </c>
      <c r="W1" s="11" t="s">
        <v>71</v>
      </c>
      <c r="X1" s="11" t="s">
        <v>71</v>
      </c>
      <c r="Y1" s="11" t="s">
        <v>71</v>
      </c>
      <c r="Z1" s="11" t="s">
        <v>71</v>
      </c>
      <c r="AA1" s="11" t="s">
        <v>71</v>
      </c>
      <c r="AB1" s="11" t="s">
        <v>71</v>
      </c>
      <c r="AC1" s="11" t="s">
        <v>71</v>
      </c>
    </row>
    <row r="2" spans="1:29" ht="37.5" customHeight="1" x14ac:dyDescent="0.2">
      <c r="A2" s="205" t="s">
        <v>211</v>
      </c>
      <c r="B2" s="205" t="s">
        <v>212</v>
      </c>
      <c r="C2" s="206" t="s">
        <v>213</v>
      </c>
      <c r="F2" s="12" t="s">
        <v>92</v>
      </c>
      <c r="G2" s="363">
        <f>'Building Input Sheet'!C5</f>
        <v>0</v>
      </c>
      <c r="H2" s="364"/>
      <c r="I2" s="13"/>
      <c r="J2" s="14" t="s">
        <v>217</v>
      </c>
      <c r="K2" s="14" t="s">
        <v>218</v>
      </c>
      <c r="L2" s="15"/>
      <c r="M2" s="250"/>
      <c r="N2" s="251"/>
      <c r="O2" s="251"/>
    </row>
    <row r="3" spans="1:29" ht="37.5" customHeight="1" x14ac:dyDescent="0.2">
      <c r="F3" s="19" t="s">
        <v>153</v>
      </c>
      <c r="G3" s="365" t="str">
        <f>IF(K3&gt;=75,"6 Stars - World Excellence",IF(K3&gt;=60,"5 Star - Australian Excellence",IF(K3&gt;=45,"4 Star - Best Practice","")))</f>
        <v/>
      </c>
      <c r="H3" s="366"/>
      <c r="I3" s="20"/>
      <c r="J3" s="149">
        <f>J126</f>
        <v>100</v>
      </c>
      <c r="K3" s="150">
        <f>K129</f>
        <v>0</v>
      </c>
      <c r="L3" s="15"/>
      <c r="M3" s="250"/>
      <c r="N3" s="251"/>
      <c r="O3" s="251"/>
    </row>
    <row r="4" spans="1:29" ht="37.5" customHeight="1" x14ac:dyDescent="0.2">
      <c r="G4" s="22"/>
      <c r="H4" s="23"/>
      <c r="I4" s="22"/>
      <c r="J4" s="23"/>
      <c r="K4" s="23"/>
      <c r="L4" s="15"/>
      <c r="M4" s="250"/>
      <c r="N4" s="249"/>
      <c r="O4" s="249"/>
    </row>
    <row r="5" spans="1:29" ht="45" customHeight="1" x14ac:dyDescent="0.2">
      <c r="E5" s="190" t="s">
        <v>173</v>
      </c>
      <c r="F5" s="24" t="s">
        <v>15</v>
      </c>
      <c r="G5" s="24" t="s">
        <v>65</v>
      </c>
      <c r="H5" s="14" t="s">
        <v>93</v>
      </c>
      <c r="I5" s="24" t="s">
        <v>16</v>
      </c>
      <c r="J5" s="14" t="s">
        <v>72</v>
      </c>
      <c r="K5" s="14" t="s">
        <v>17</v>
      </c>
      <c r="L5" s="25"/>
      <c r="M5" s="252" t="s">
        <v>319</v>
      </c>
      <c r="N5" s="253"/>
      <c r="O5" s="253"/>
    </row>
    <row r="6" spans="1:29" ht="45" customHeight="1" x14ac:dyDescent="0.25">
      <c r="F6" s="27" t="s">
        <v>0</v>
      </c>
      <c r="G6" s="28"/>
      <c r="H6" s="29"/>
      <c r="I6" s="28"/>
      <c r="J6" s="29">
        <f>14-SUM(B7:B23)</f>
        <v>14</v>
      </c>
      <c r="K6" s="29"/>
      <c r="L6" s="25"/>
      <c r="M6" s="254"/>
      <c r="N6" s="254"/>
      <c r="O6" s="254"/>
      <c r="S6" s="126"/>
      <c r="T6" s="126"/>
      <c r="U6" s="124"/>
      <c r="V6" s="125" t="s">
        <v>174</v>
      </c>
      <c r="W6" s="125" t="s">
        <v>176</v>
      </c>
      <c r="X6" s="125" t="s">
        <v>177</v>
      </c>
      <c r="Y6" s="125" t="s">
        <v>178</v>
      </c>
      <c r="Z6" s="124"/>
      <c r="AA6" s="125" t="s">
        <v>205</v>
      </c>
      <c r="AB6" s="125" t="s">
        <v>206</v>
      </c>
    </row>
    <row r="7" spans="1:29" ht="45" customHeight="1" x14ac:dyDescent="0.25">
      <c r="F7" s="225" t="s">
        <v>19</v>
      </c>
      <c r="G7" s="226" t="s">
        <v>69</v>
      </c>
      <c r="H7" s="30">
        <v>1</v>
      </c>
      <c r="I7" s="228" t="s">
        <v>22</v>
      </c>
      <c r="J7" s="31">
        <v>1</v>
      </c>
      <c r="K7" s="32"/>
      <c r="L7" s="33"/>
      <c r="M7" s="255"/>
      <c r="N7" s="256"/>
      <c r="O7" s="256"/>
      <c r="S7" s="126"/>
      <c r="T7" s="126"/>
      <c r="U7" s="124"/>
      <c r="V7" s="134" t="s">
        <v>0</v>
      </c>
      <c r="W7" s="135">
        <v>14</v>
      </c>
      <c r="X7" s="211"/>
      <c r="Y7" s="126">
        <f>K24</f>
        <v>0</v>
      </c>
      <c r="Z7" s="124"/>
      <c r="AA7" s="137" t="e">
        <f>#REF!</f>
        <v>#REF!</v>
      </c>
      <c r="AB7" s="137" t="e">
        <f>#REF!</f>
        <v>#REF!</v>
      </c>
    </row>
    <row r="8" spans="1:29" ht="45" customHeight="1" x14ac:dyDescent="0.25">
      <c r="F8" s="327" t="s">
        <v>20</v>
      </c>
      <c r="G8" s="367" t="s">
        <v>66</v>
      </c>
      <c r="H8" s="37">
        <v>2</v>
      </c>
      <c r="I8" s="41" t="s">
        <v>184</v>
      </c>
      <c r="J8" s="38" t="s">
        <v>98</v>
      </c>
      <c r="K8" s="39"/>
      <c r="L8" s="33"/>
      <c r="M8" s="255"/>
      <c r="N8" s="256"/>
      <c r="O8" s="256"/>
      <c r="Q8" s="246" t="s">
        <v>122</v>
      </c>
      <c r="R8" s="137"/>
      <c r="S8" s="126"/>
      <c r="T8" s="126" t="s">
        <v>119</v>
      </c>
      <c r="U8" s="124"/>
      <c r="V8" s="134" t="s">
        <v>1</v>
      </c>
      <c r="W8" s="135">
        <v>17</v>
      </c>
      <c r="X8" s="135">
        <f>J44</f>
        <v>17</v>
      </c>
      <c r="Y8" s="126">
        <f>K44</f>
        <v>0</v>
      </c>
      <c r="Z8" s="124"/>
      <c r="AA8" s="137" t="e">
        <f>#REF!</f>
        <v>#REF!</v>
      </c>
      <c r="AB8" s="137" t="e">
        <f>#REF!</f>
        <v>#REF!</v>
      </c>
    </row>
    <row r="9" spans="1:29" ht="45" customHeight="1" x14ac:dyDescent="0.25">
      <c r="F9" s="328"/>
      <c r="G9" s="368"/>
      <c r="H9" s="40">
        <v>2.1</v>
      </c>
      <c r="I9" s="41" t="s">
        <v>23</v>
      </c>
      <c r="J9" s="42">
        <v>1</v>
      </c>
      <c r="K9" s="32"/>
      <c r="L9" s="33" t="str">
        <f t="shared" ref="L9:L17" si="0">IF(AND(K9&gt;0,$K$8&lt;&gt;$T$8),"!","")</f>
        <v/>
      </c>
      <c r="M9" s="255"/>
      <c r="N9" s="256"/>
      <c r="O9" s="256"/>
      <c r="Q9" s="246" t="s">
        <v>198</v>
      </c>
      <c r="R9" s="137" t="s">
        <v>231</v>
      </c>
      <c r="S9" s="126" t="s">
        <v>233</v>
      </c>
      <c r="T9" s="126" t="s">
        <v>120</v>
      </c>
      <c r="U9" s="124"/>
      <c r="V9" s="134" t="s">
        <v>2</v>
      </c>
      <c r="W9" s="135">
        <v>22</v>
      </c>
      <c r="X9" s="135">
        <f>J65</f>
        <v>22</v>
      </c>
      <c r="Y9" s="126">
        <f>K65</f>
        <v>0</v>
      </c>
      <c r="Z9" s="124"/>
      <c r="AA9" s="137" t="e">
        <f>#REF!</f>
        <v>#REF!</v>
      </c>
      <c r="AB9" s="137" t="e">
        <f>#REF!</f>
        <v>#REF!</v>
      </c>
    </row>
    <row r="10" spans="1:29" ht="45" customHeight="1" x14ac:dyDescent="0.25">
      <c r="F10" s="328"/>
      <c r="G10" s="368"/>
      <c r="H10" s="40">
        <v>2.2000000000000002</v>
      </c>
      <c r="I10" s="41" t="s">
        <v>24</v>
      </c>
      <c r="J10" s="42">
        <v>1</v>
      </c>
      <c r="K10" s="32"/>
      <c r="L10" s="33" t="str">
        <f t="shared" si="0"/>
        <v/>
      </c>
      <c r="M10" s="255"/>
      <c r="N10" s="256"/>
      <c r="O10" s="256"/>
      <c r="R10" s="137" t="s">
        <v>228</v>
      </c>
      <c r="S10" s="126" t="s">
        <v>232</v>
      </c>
      <c r="T10" s="124"/>
      <c r="U10" s="124"/>
      <c r="V10" s="134" t="s">
        <v>3</v>
      </c>
      <c r="W10" s="135">
        <v>10</v>
      </c>
      <c r="X10" s="135">
        <f>J74</f>
        <v>7</v>
      </c>
      <c r="Y10" s="126">
        <f>K74</f>
        <v>0</v>
      </c>
      <c r="Z10" s="124"/>
      <c r="AA10" s="137" t="e">
        <f>#REF!</f>
        <v>#REF!</v>
      </c>
      <c r="AB10" s="137" t="e">
        <f>#REF!</f>
        <v>#REF!</v>
      </c>
    </row>
    <row r="11" spans="1:29" ht="45" customHeight="1" x14ac:dyDescent="0.25">
      <c r="F11" s="328"/>
      <c r="G11" s="368"/>
      <c r="H11" s="40">
        <v>2.2999999999999998</v>
      </c>
      <c r="I11" s="41" t="s">
        <v>25</v>
      </c>
      <c r="J11" s="42">
        <v>1</v>
      </c>
      <c r="K11" s="32"/>
      <c r="L11" s="33" t="str">
        <f t="shared" si="0"/>
        <v/>
      </c>
      <c r="M11" s="255"/>
      <c r="N11" s="256"/>
      <c r="O11" s="256"/>
      <c r="R11" s="137" t="s">
        <v>229</v>
      </c>
      <c r="S11" s="126" t="s">
        <v>269</v>
      </c>
      <c r="T11" s="124"/>
      <c r="U11" s="124"/>
      <c r="V11" s="134" t="s">
        <v>4</v>
      </c>
      <c r="W11" s="135">
        <v>12</v>
      </c>
      <c r="X11" s="135">
        <f>J83</f>
        <v>6</v>
      </c>
      <c r="Y11" s="126">
        <f>K83</f>
        <v>0</v>
      </c>
      <c r="Z11" s="124"/>
      <c r="AA11" s="137" t="e">
        <f>#REF!</f>
        <v>#REF!</v>
      </c>
      <c r="AB11" s="137" t="e">
        <f>#REF!</f>
        <v>#REF!</v>
      </c>
    </row>
    <row r="12" spans="1:29" ht="45" customHeight="1" x14ac:dyDescent="0.25">
      <c r="F12" s="328"/>
      <c r="G12" s="368"/>
      <c r="H12" s="40">
        <v>2.4</v>
      </c>
      <c r="I12" s="41" t="s">
        <v>26</v>
      </c>
      <c r="J12" s="42">
        <v>1</v>
      </c>
      <c r="K12" s="32"/>
      <c r="L12" s="33" t="str">
        <f t="shared" si="0"/>
        <v/>
      </c>
      <c r="M12" s="255"/>
      <c r="N12" s="256"/>
      <c r="O12" s="256"/>
      <c r="R12" s="137" t="s">
        <v>230</v>
      </c>
      <c r="S12" s="126"/>
      <c r="T12" s="124"/>
      <c r="U12" s="124"/>
      <c r="V12" s="134" t="s">
        <v>5</v>
      </c>
      <c r="W12" s="135">
        <v>14</v>
      </c>
      <c r="X12" s="135">
        <f>J97</f>
        <v>12</v>
      </c>
      <c r="Y12" s="126">
        <f>K97</f>
        <v>0</v>
      </c>
      <c r="Z12" s="124"/>
      <c r="AA12" s="137" t="e">
        <f>#REF!</f>
        <v>#REF!</v>
      </c>
      <c r="AB12" s="137" t="e">
        <f>#REF!</f>
        <v>#REF!</v>
      </c>
    </row>
    <row r="13" spans="1:29" ht="45" customHeight="1" x14ac:dyDescent="0.25">
      <c r="F13" s="225" t="s">
        <v>53</v>
      </c>
      <c r="G13" s="226" t="s">
        <v>59</v>
      </c>
      <c r="H13" s="30">
        <v>3.1</v>
      </c>
      <c r="I13" s="228" t="s">
        <v>30</v>
      </c>
      <c r="J13" s="31">
        <v>2</v>
      </c>
      <c r="K13" s="32"/>
      <c r="L13" s="33" t="str">
        <f t="shared" si="0"/>
        <v/>
      </c>
      <c r="M13" s="255"/>
      <c r="N13" s="256"/>
      <c r="O13" s="256"/>
      <c r="S13" s="124"/>
      <c r="T13" s="124"/>
      <c r="U13" s="124"/>
      <c r="V13" s="134" t="s">
        <v>175</v>
      </c>
      <c r="W13" s="135">
        <v>6</v>
      </c>
      <c r="X13" s="135">
        <f>J106</f>
        <v>6</v>
      </c>
      <c r="Y13" s="126">
        <f>K106</f>
        <v>0</v>
      </c>
      <c r="Z13" s="124"/>
      <c r="AA13" s="137" t="e">
        <f>#REF!</f>
        <v>#REF!</v>
      </c>
      <c r="AB13" s="137" t="e">
        <f>#REF!</f>
        <v>#REF!</v>
      </c>
    </row>
    <row r="14" spans="1:29" ht="45" customHeight="1" x14ac:dyDescent="0.25">
      <c r="F14" s="328" t="s">
        <v>55</v>
      </c>
      <c r="G14" s="356" t="s">
        <v>57</v>
      </c>
      <c r="H14" s="30">
        <v>4.0999999999999996</v>
      </c>
      <c r="I14" s="228" t="s">
        <v>27</v>
      </c>
      <c r="J14" s="31">
        <v>1</v>
      </c>
      <c r="K14" s="32"/>
      <c r="L14" s="33" t="str">
        <f t="shared" si="0"/>
        <v/>
      </c>
      <c r="M14" s="255"/>
      <c r="N14" s="256"/>
      <c r="O14" s="256"/>
      <c r="S14" s="124"/>
      <c r="T14" s="124"/>
      <c r="U14" s="124"/>
      <c r="V14" s="134" t="s">
        <v>6</v>
      </c>
      <c r="W14" s="135">
        <v>5</v>
      </c>
      <c r="X14" s="135">
        <f>J115</f>
        <v>5</v>
      </c>
      <c r="Y14" s="126">
        <f>K115</f>
        <v>0</v>
      </c>
      <c r="Z14" s="124"/>
      <c r="AA14" s="137" t="e">
        <f>#REF!</f>
        <v>#REF!</v>
      </c>
      <c r="AB14" s="137" t="e">
        <f>#REF!</f>
        <v>#REF!</v>
      </c>
    </row>
    <row r="15" spans="1:29" ht="45" customHeight="1" x14ac:dyDescent="0.25">
      <c r="F15" s="328"/>
      <c r="G15" s="356"/>
      <c r="H15" s="30">
        <v>4.2</v>
      </c>
      <c r="I15" s="228" t="s">
        <v>28</v>
      </c>
      <c r="J15" s="31">
        <v>1</v>
      </c>
      <c r="K15" s="32"/>
      <c r="L15" s="33" t="str">
        <f t="shared" si="0"/>
        <v/>
      </c>
      <c r="M15" s="255"/>
      <c r="N15" s="256"/>
      <c r="O15" s="256"/>
      <c r="S15" s="124"/>
      <c r="T15" s="124"/>
      <c r="U15" s="124"/>
      <c r="V15" s="125" t="s">
        <v>179</v>
      </c>
      <c r="W15" s="135"/>
      <c r="X15" s="135"/>
      <c r="Y15" s="135">
        <f>SUM(Y7:Y14)</f>
        <v>0</v>
      </c>
      <c r="Z15" s="124"/>
      <c r="AA15" s="137" t="e">
        <f>SUM(AA7:AA14)</f>
        <v>#REF!</v>
      </c>
      <c r="AB15" s="137" t="e">
        <f>SUM(AB7:AB14)</f>
        <v>#REF!</v>
      </c>
    </row>
    <row r="16" spans="1:29" ht="45" customHeight="1" x14ac:dyDescent="0.25">
      <c r="F16" s="328" t="s">
        <v>58</v>
      </c>
      <c r="G16" s="356" t="s">
        <v>67</v>
      </c>
      <c r="H16" s="30">
        <v>5.0999999999999996</v>
      </c>
      <c r="I16" s="228" t="s">
        <v>185</v>
      </c>
      <c r="J16" s="31">
        <v>1</v>
      </c>
      <c r="K16" s="32"/>
      <c r="L16" s="33" t="str">
        <f t="shared" si="0"/>
        <v/>
      </c>
      <c r="M16" s="255"/>
      <c r="N16" s="256"/>
      <c r="O16" s="256"/>
      <c r="S16" s="124"/>
      <c r="T16" s="124"/>
      <c r="U16" s="124"/>
      <c r="V16" s="125" t="s">
        <v>296</v>
      </c>
      <c r="W16" s="137">
        <f>J126</f>
        <v>100</v>
      </c>
      <c r="X16" s="210"/>
      <c r="Y16" s="126"/>
      <c r="Z16" s="124"/>
    </row>
    <row r="17" spans="1:29" ht="45" customHeight="1" x14ac:dyDescent="0.25">
      <c r="F17" s="328"/>
      <c r="G17" s="356"/>
      <c r="H17" s="30">
        <v>5.2</v>
      </c>
      <c r="I17" s="228" t="s">
        <v>186</v>
      </c>
      <c r="J17" s="31">
        <v>1</v>
      </c>
      <c r="K17" s="32"/>
      <c r="L17" s="33" t="str">
        <f t="shared" si="0"/>
        <v/>
      </c>
      <c r="M17" s="255"/>
      <c r="N17" s="256"/>
      <c r="O17" s="256"/>
      <c r="S17" s="124"/>
      <c r="T17" s="124"/>
      <c r="U17" s="124"/>
      <c r="V17" s="125" t="s">
        <v>297</v>
      </c>
      <c r="AA17" s="237" t="e">
        <f>(AA15/W16)*100</f>
        <v>#REF!</v>
      </c>
      <c r="AB17" s="237" t="e">
        <f>(AB15/W16)*100</f>
        <v>#REF!</v>
      </c>
      <c r="AC17" s="11" t="s">
        <v>309</v>
      </c>
    </row>
    <row r="18" spans="1:29" ht="45" customHeight="1" x14ac:dyDescent="0.25">
      <c r="F18" s="328" t="s">
        <v>56</v>
      </c>
      <c r="G18" s="356" t="s">
        <v>68</v>
      </c>
      <c r="H18" s="30">
        <v>6</v>
      </c>
      <c r="I18" s="228" t="s">
        <v>299</v>
      </c>
      <c r="J18" s="31" t="s">
        <v>98</v>
      </c>
      <c r="K18" s="39"/>
      <c r="L18" s="33"/>
      <c r="M18" s="255"/>
      <c r="N18" s="256"/>
      <c r="O18" s="256"/>
      <c r="S18" s="124"/>
      <c r="T18" s="124"/>
      <c r="U18" s="124"/>
      <c r="V18" s="125" t="s">
        <v>18</v>
      </c>
      <c r="AA18" s="137" t="e">
        <f>#REF!</f>
        <v>#REF!</v>
      </c>
      <c r="AB18" s="137" t="e">
        <f>#REF!</f>
        <v>#REF!</v>
      </c>
    </row>
    <row r="19" spans="1:29" ht="45" customHeight="1" x14ac:dyDescent="0.25">
      <c r="F19" s="328"/>
      <c r="G19" s="356"/>
      <c r="H19" s="30">
        <v>6.1</v>
      </c>
      <c r="I19" s="228" t="s">
        <v>300</v>
      </c>
      <c r="J19" s="31">
        <v>1</v>
      </c>
      <c r="K19" s="32"/>
      <c r="L19" s="33" t="str">
        <f>IF(AND(K19&gt;0,$K$18&lt;&gt;$T$8),"!","")</f>
        <v/>
      </c>
      <c r="M19" s="255"/>
      <c r="N19" s="256"/>
      <c r="O19" s="256"/>
      <c r="S19" s="124"/>
      <c r="T19" s="124"/>
      <c r="U19" s="124"/>
      <c r="V19" s="125" t="s">
        <v>298</v>
      </c>
      <c r="AA19" s="237" t="e">
        <f>AA17+AA18</f>
        <v>#REF!</v>
      </c>
      <c r="AB19" s="237" t="e">
        <f>AB17+AB18</f>
        <v>#REF!</v>
      </c>
      <c r="AC19" s="11" t="s">
        <v>310</v>
      </c>
    </row>
    <row r="20" spans="1:29" ht="45" customHeight="1" x14ac:dyDescent="0.2">
      <c r="F20" s="328" t="s">
        <v>54</v>
      </c>
      <c r="G20" s="356" t="s">
        <v>157</v>
      </c>
      <c r="H20" s="30">
        <v>7</v>
      </c>
      <c r="I20" s="228" t="s">
        <v>29</v>
      </c>
      <c r="J20" s="43" t="s">
        <v>98</v>
      </c>
      <c r="K20" s="44"/>
      <c r="L20" s="33"/>
      <c r="M20" s="255"/>
      <c r="N20" s="256"/>
      <c r="O20" s="256"/>
      <c r="S20" s="124"/>
      <c r="T20" s="124"/>
      <c r="U20" s="124"/>
    </row>
    <row r="21" spans="1:29" ht="45" customHeight="1" x14ac:dyDescent="0.2">
      <c r="F21" s="328"/>
      <c r="G21" s="356"/>
      <c r="H21" s="30">
        <v>7.1</v>
      </c>
      <c r="I21" s="228" t="s">
        <v>158</v>
      </c>
      <c r="J21" s="43">
        <v>1</v>
      </c>
      <c r="K21" s="45"/>
      <c r="L21" s="33" t="str">
        <f>IF(AND(K21&gt;0,$K$20&lt;&gt;$T$8),"!","")</f>
        <v/>
      </c>
      <c r="M21" s="255"/>
      <c r="N21" s="256"/>
      <c r="O21" s="256"/>
      <c r="S21" s="124"/>
      <c r="T21" s="124"/>
      <c r="U21" s="124"/>
    </row>
    <row r="22" spans="1:29" ht="45" customHeight="1" x14ac:dyDescent="0.2">
      <c r="F22" s="335" t="s">
        <v>60</v>
      </c>
      <c r="G22" s="341" t="s">
        <v>198</v>
      </c>
      <c r="H22" s="30" t="s">
        <v>276</v>
      </c>
      <c r="I22" s="228" t="s">
        <v>278</v>
      </c>
      <c r="J22" s="43" t="str">
        <f>IF(G22=Q8,1,"-")</f>
        <v>-</v>
      </c>
      <c r="K22" s="45"/>
      <c r="L22" s="33" t="str">
        <f>IF(AND(K22&gt;0,G22="Prescriptive Pathway"),"!","")</f>
        <v/>
      </c>
      <c r="M22" s="255"/>
      <c r="N22" s="256"/>
      <c r="O22" s="256"/>
      <c r="S22" s="124"/>
      <c r="T22" s="124"/>
      <c r="U22" s="124"/>
    </row>
    <row r="23" spans="1:29" ht="45" customHeight="1" x14ac:dyDescent="0.2">
      <c r="F23" s="327"/>
      <c r="G23" s="342"/>
      <c r="H23" s="30" t="s">
        <v>277</v>
      </c>
      <c r="I23" s="228" t="s">
        <v>279</v>
      </c>
      <c r="J23" s="43">
        <f>IF(G22=Q9,1,"-")</f>
        <v>1</v>
      </c>
      <c r="K23" s="45"/>
      <c r="L23" s="33" t="str">
        <f>IF(AND(K23&gt;0,G22="Performance Pathway"),"!","")</f>
        <v/>
      </c>
      <c r="M23" s="255"/>
      <c r="N23" s="256"/>
      <c r="O23" s="256"/>
    </row>
    <row r="24" spans="1:29" ht="37.5" customHeight="1" x14ac:dyDescent="0.2">
      <c r="F24" s="47" t="s">
        <v>70</v>
      </c>
      <c r="G24" s="47"/>
      <c r="H24" s="48"/>
      <c r="I24" s="47"/>
      <c r="J24" s="48">
        <f>SUM(J7:J23)</f>
        <v>14</v>
      </c>
      <c r="K24" s="48">
        <f>SUM(K7:K23)</f>
        <v>0</v>
      </c>
      <c r="L24" s="33" t="str">
        <f>IF(K24&gt;J24,"!","")</f>
        <v/>
      </c>
      <c r="M24" s="257"/>
      <c r="N24" s="249"/>
      <c r="O24" s="249"/>
    </row>
    <row r="25" spans="1:29" ht="45" customHeight="1" x14ac:dyDescent="0.2">
      <c r="F25" s="52"/>
      <c r="G25" s="53"/>
      <c r="H25" s="54"/>
      <c r="I25" s="55"/>
      <c r="J25" s="56"/>
      <c r="K25" s="57"/>
      <c r="L25" s="79"/>
      <c r="M25" s="258"/>
      <c r="N25" s="249"/>
      <c r="O25" s="249"/>
    </row>
    <row r="26" spans="1:29" ht="45" customHeight="1" x14ac:dyDescent="0.2">
      <c r="F26" s="359" t="s">
        <v>1</v>
      </c>
      <c r="G26" s="359"/>
      <c r="H26" s="359"/>
      <c r="I26" s="359"/>
      <c r="J26" s="204">
        <f>17-SUM(B27:B43)</f>
        <v>17</v>
      </c>
      <c r="K26" s="58"/>
      <c r="L26" s="33"/>
      <c r="M26" s="254"/>
      <c r="N26" s="254"/>
      <c r="O26" s="254"/>
    </row>
    <row r="27" spans="1:29" ht="45" customHeight="1" x14ac:dyDescent="0.2">
      <c r="A27" s="189">
        <v>1</v>
      </c>
      <c r="B27" s="189">
        <f>IF(C27=TRUE,A27,0)</f>
        <v>0</v>
      </c>
      <c r="C27" s="189" t="b">
        <v>0</v>
      </c>
      <c r="E27" s="191"/>
      <c r="F27" s="343" t="s">
        <v>301</v>
      </c>
      <c r="G27" s="360" t="s">
        <v>99</v>
      </c>
      <c r="H27" s="61">
        <v>9.1</v>
      </c>
      <c r="I27" s="62" t="s">
        <v>31</v>
      </c>
      <c r="J27" s="63">
        <f>IF(C27=FALSE,A27,0)</f>
        <v>1</v>
      </c>
      <c r="K27" s="64"/>
      <c r="L27" s="33"/>
      <c r="M27" s="255"/>
      <c r="N27" s="255"/>
      <c r="O27" s="255"/>
    </row>
    <row r="28" spans="1:29" ht="45" customHeight="1" x14ac:dyDescent="0.2">
      <c r="A28" s="189">
        <v>2</v>
      </c>
      <c r="B28" s="189">
        <f t="shared" ref="B28:B43" si="1">IF(C28=TRUE,A28,0)</f>
        <v>0</v>
      </c>
      <c r="C28" s="189" t="b">
        <v>0</v>
      </c>
      <c r="F28" s="343"/>
      <c r="G28" s="360"/>
      <c r="H28" s="61">
        <v>9.1999999999999993</v>
      </c>
      <c r="I28" s="62" t="s">
        <v>187</v>
      </c>
      <c r="J28" s="63">
        <f t="shared" ref="J28:J43" si="2">IF(C28=FALSE,A28,0)</f>
        <v>2</v>
      </c>
      <c r="K28" s="64"/>
      <c r="L28" s="33"/>
      <c r="M28" s="255"/>
      <c r="N28" s="255"/>
      <c r="O28" s="255"/>
    </row>
    <row r="29" spans="1:29" ht="45" customHeight="1" x14ac:dyDescent="0.2">
      <c r="A29" s="189">
        <v>1</v>
      </c>
      <c r="B29" s="189">
        <f t="shared" si="1"/>
        <v>0</v>
      </c>
      <c r="C29" s="189" t="b">
        <v>0</v>
      </c>
      <c r="F29" s="343"/>
      <c r="G29" s="360"/>
      <c r="H29" s="61">
        <v>9.3000000000000007</v>
      </c>
      <c r="I29" s="62" t="s">
        <v>163</v>
      </c>
      <c r="J29" s="63">
        <f t="shared" si="2"/>
        <v>1</v>
      </c>
      <c r="K29" s="64"/>
      <c r="L29" s="33"/>
      <c r="M29" s="255"/>
      <c r="N29" s="255"/>
      <c r="O29" s="255"/>
    </row>
    <row r="30" spans="1:29" ht="45" customHeight="1" x14ac:dyDescent="0.2">
      <c r="A30" s="189">
        <v>1</v>
      </c>
      <c r="B30" s="189">
        <f t="shared" si="1"/>
        <v>0</v>
      </c>
      <c r="C30" s="189" t="b">
        <v>0</v>
      </c>
      <c r="F30" s="343" t="s">
        <v>8</v>
      </c>
      <c r="G30" s="356" t="s">
        <v>100</v>
      </c>
      <c r="H30" s="61">
        <v>10.1</v>
      </c>
      <c r="I30" s="62" t="s">
        <v>50</v>
      </c>
      <c r="J30" s="63">
        <f t="shared" si="2"/>
        <v>1</v>
      </c>
      <c r="K30" s="64"/>
      <c r="L30" s="33"/>
      <c r="M30" s="255"/>
      <c r="N30" s="255"/>
      <c r="O30" s="255"/>
    </row>
    <row r="31" spans="1:29" ht="45" customHeight="1" x14ac:dyDescent="0.2">
      <c r="A31" s="189">
        <v>1</v>
      </c>
      <c r="B31" s="189">
        <f t="shared" si="1"/>
        <v>0</v>
      </c>
      <c r="C31" s="189" t="b">
        <v>0</v>
      </c>
      <c r="F31" s="343"/>
      <c r="G31" s="356"/>
      <c r="H31" s="61">
        <v>10.199999999999999</v>
      </c>
      <c r="I31" s="62" t="s">
        <v>52</v>
      </c>
      <c r="J31" s="63">
        <f t="shared" si="2"/>
        <v>1</v>
      </c>
      <c r="K31" s="64"/>
      <c r="L31" s="33"/>
      <c r="M31" s="255"/>
      <c r="N31" s="255"/>
      <c r="O31" s="255"/>
    </row>
    <row r="32" spans="1:29" ht="45" customHeight="1" x14ac:dyDescent="0.2">
      <c r="A32" s="189">
        <v>1</v>
      </c>
      <c r="B32" s="189">
        <f t="shared" si="1"/>
        <v>0</v>
      </c>
      <c r="C32" s="189" t="b">
        <v>0</v>
      </c>
      <c r="F32" s="343"/>
      <c r="G32" s="356"/>
      <c r="H32" s="61">
        <v>10.3</v>
      </c>
      <c r="I32" s="62" t="s">
        <v>308</v>
      </c>
      <c r="J32" s="63">
        <f t="shared" si="2"/>
        <v>1</v>
      </c>
      <c r="K32" s="64"/>
      <c r="L32" s="33"/>
      <c r="M32" s="255"/>
      <c r="N32" s="255"/>
      <c r="O32" s="255"/>
    </row>
    <row r="33" spans="1:17" ht="45" customHeight="1" x14ac:dyDescent="0.2">
      <c r="F33" s="343" t="s">
        <v>7</v>
      </c>
      <c r="G33" s="356" t="s">
        <v>101</v>
      </c>
      <c r="H33" s="30">
        <v>11</v>
      </c>
      <c r="I33" s="66" t="s">
        <v>43</v>
      </c>
      <c r="J33" s="63" t="s">
        <v>98</v>
      </c>
      <c r="K33" s="64"/>
      <c r="L33" s="33"/>
      <c r="M33" s="255"/>
      <c r="N33" s="255"/>
      <c r="O33" s="255"/>
    </row>
    <row r="34" spans="1:17" ht="45" customHeight="1" x14ac:dyDescent="0.2">
      <c r="A34" s="189">
        <v>1</v>
      </c>
      <c r="B34" s="189">
        <f t="shared" si="1"/>
        <v>0</v>
      </c>
      <c r="C34" s="189" t="b">
        <v>0</v>
      </c>
      <c r="F34" s="343"/>
      <c r="G34" s="356"/>
      <c r="H34" s="61">
        <v>11.1</v>
      </c>
      <c r="I34" s="62" t="s">
        <v>32</v>
      </c>
      <c r="J34" s="63">
        <f t="shared" si="2"/>
        <v>1</v>
      </c>
      <c r="K34" s="64"/>
      <c r="L34" s="33" t="str">
        <f>IF(AND(K34&gt;0,$K$33&lt;&gt;$T$8),"!","")</f>
        <v/>
      </c>
      <c r="M34" s="255"/>
      <c r="N34" s="255"/>
      <c r="O34" s="255"/>
    </row>
    <row r="35" spans="1:17" ht="45" customHeight="1" x14ac:dyDescent="0.2">
      <c r="A35" s="189">
        <v>1</v>
      </c>
      <c r="B35" s="189">
        <f t="shared" si="1"/>
        <v>0</v>
      </c>
      <c r="C35" s="189" t="b">
        <v>0</v>
      </c>
      <c r="F35" s="343"/>
      <c r="G35" s="356"/>
      <c r="H35" s="61">
        <v>11.2</v>
      </c>
      <c r="I35" s="62" t="s">
        <v>62</v>
      </c>
      <c r="J35" s="63">
        <f t="shared" si="2"/>
        <v>1</v>
      </c>
      <c r="K35" s="64"/>
      <c r="L35" s="33" t="str">
        <f>IF(AND(K35&gt;0,$K$33&lt;&gt;$T$8),"!","")</f>
        <v/>
      </c>
      <c r="M35" s="255"/>
      <c r="N35" s="255"/>
      <c r="O35" s="255"/>
    </row>
    <row r="36" spans="1:17" ht="45" customHeight="1" x14ac:dyDescent="0.2">
      <c r="A36" s="189">
        <v>1</v>
      </c>
      <c r="B36" s="189">
        <f t="shared" si="1"/>
        <v>0</v>
      </c>
      <c r="C36" s="189" t="b">
        <v>0</v>
      </c>
      <c r="F36" s="343"/>
      <c r="G36" s="356"/>
      <c r="H36" s="61">
        <v>11.3</v>
      </c>
      <c r="I36" s="62" t="s">
        <v>188</v>
      </c>
      <c r="J36" s="63">
        <f t="shared" si="2"/>
        <v>1</v>
      </c>
      <c r="K36" s="64"/>
      <c r="L36" s="33" t="str">
        <f>IF(AND(K36&gt;0,$K$33&lt;&gt;$T$8),"!","")</f>
        <v/>
      </c>
      <c r="M36" s="255"/>
      <c r="N36" s="255"/>
      <c r="O36" s="255"/>
    </row>
    <row r="37" spans="1:17" ht="45" customHeight="1" x14ac:dyDescent="0.2">
      <c r="F37" s="343" t="s">
        <v>21</v>
      </c>
      <c r="G37" s="356" t="s">
        <v>102</v>
      </c>
      <c r="H37" s="61">
        <v>12</v>
      </c>
      <c r="I37" s="62" t="s">
        <v>33</v>
      </c>
      <c r="J37" s="63" t="s">
        <v>98</v>
      </c>
      <c r="K37" s="64"/>
      <c r="L37" s="33"/>
      <c r="M37" s="255"/>
      <c r="N37" s="255"/>
      <c r="O37" s="255"/>
    </row>
    <row r="38" spans="1:17" ht="45" customHeight="1" x14ac:dyDescent="0.2">
      <c r="A38" s="189">
        <v>2</v>
      </c>
      <c r="B38" s="189">
        <f t="shared" si="1"/>
        <v>0</v>
      </c>
      <c r="C38" s="189" t="b">
        <v>0</v>
      </c>
      <c r="F38" s="343"/>
      <c r="G38" s="356"/>
      <c r="H38" s="61">
        <v>12.1</v>
      </c>
      <c r="I38" s="62" t="s">
        <v>34</v>
      </c>
      <c r="J38" s="63">
        <f t="shared" si="2"/>
        <v>2</v>
      </c>
      <c r="K38" s="64"/>
      <c r="L38" s="33" t="str">
        <f>IF(AND(K38&gt;0,$K$37&lt;&gt;$T$8),"!","")</f>
        <v/>
      </c>
      <c r="M38" s="255"/>
      <c r="N38" s="255"/>
      <c r="O38" s="255"/>
    </row>
    <row r="39" spans="1:17" ht="45" customHeight="1" x14ac:dyDescent="0.2">
      <c r="A39" s="189">
        <v>1</v>
      </c>
      <c r="B39" s="189">
        <f t="shared" si="1"/>
        <v>0</v>
      </c>
      <c r="C39" s="189" t="b">
        <v>0</v>
      </c>
      <c r="F39" s="343"/>
      <c r="G39" s="356"/>
      <c r="H39" s="61">
        <v>12.2</v>
      </c>
      <c r="I39" s="62" t="s">
        <v>35</v>
      </c>
      <c r="J39" s="63">
        <f t="shared" si="2"/>
        <v>1</v>
      </c>
      <c r="K39" s="64"/>
      <c r="L39" s="33" t="str">
        <f>IF(AND(K39&gt;0,$K$37&lt;&gt;$T$8),"!","")</f>
        <v/>
      </c>
      <c r="M39" s="255"/>
      <c r="N39" s="255"/>
      <c r="O39" s="255"/>
    </row>
    <row r="40" spans="1:17" ht="45" customHeight="1" x14ac:dyDescent="0.2">
      <c r="A40" s="189">
        <v>1</v>
      </c>
      <c r="B40" s="189">
        <f t="shared" si="1"/>
        <v>0</v>
      </c>
      <c r="C40" s="189" t="b">
        <v>0</v>
      </c>
      <c r="F40" s="343" t="s">
        <v>219</v>
      </c>
      <c r="G40" s="356" t="s">
        <v>103</v>
      </c>
      <c r="H40" s="61">
        <v>13.1</v>
      </c>
      <c r="I40" s="62" t="s">
        <v>180</v>
      </c>
      <c r="J40" s="63">
        <f t="shared" si="2"/>
        <v>1</v>
      </c>
      <c r="K40" s="64"/>
      <c r="L40" s="33"/>
      <c r="M40" s="255"/>
      <c r="N40" s="255"/>
      <c r="O40" s="255"/>
    </row>
    <row r="41" spans="1:17" ht="45" customHeight="1" x14ac:dyDescent="0.2">
      <c r="A41" s="189">
        <v>1</v>
      </c>
      <c r="B41" s="189">
        <f t="shared" si="1"/>
        <v>0</v>
      </c>
      <c r="C41" s="189" t="b">
        <v>0</v>
      </c>
      <c r="F41" s="343"/>
      <c r="G41" s="356"/>
      <c r="H41" s="61">
        <v>13.2</v>
      </c>
      <c r="I41" s="62" t="s">
        <v>181</v>
      </c>
      <c r="J41" s="63">
        <f t="shared" si="2"/>
        <v>1</v>
      </c>
      <c r="K41" s="64"/>
      <c r="L41" s="33"/>
      <c r="M41" s="255"/>
      <c r="N41" s="255"/>
      <c r="O41" s="255"/>
    </row>
    <row r="42" spans="1:17" ht="45" customHeight="1" x14ac:dyDescent="0.2">
      <c r="A42" s="189">
        <v>1</v>
      </c>
      <c r="B42" s="189">
        <f t="shared" si="1"/>
        <v>0</v>
      </c>
      <c r="C42" s="189" t="b">
        <v>0</v>
      </c>
      <c r="F42" s="343" t="s">
        <v>9</v>
      </c>
      <c r="G42" s="356" t="s">
        <v>104</v>
      </c>
      <c r="H42" s="61">
        <v>14.1</v>
      </c>
      <c r="I42" s="62" t="s">
        <v>9</v>
      </c>
      <c r="J42" s="63">
        <f t="shared" si="2"/>
        <v>1</v>
      </c>
      <c r="K42" s="64"/>
      <c r="L42" s="33"/>
      <c r="M42" s="255"/>
      <c r="N42" s="255"/>
      <c r="O42" s="255"/>
    </row>
    <row r="43" spans="1:17" ht="45" customHeight="1" x14ac:dyDescent="0.2">
      <c r="A43" s="189">
        <v>1</v>
      </c>
      <c r="B43" s="189">
        <f t="shared" si="1"/>
        <v>0</v>
      </c>
      <c r="C43" s="189" t="b">
        <v>0</v>
      </c>
      <c r="F43" s="344"/>
      <c r="G43" s="331"/>
      <c r="H43" s="61">
        <v>14.2</v>
      </c>
      <c r="I43" s="62" t="s">
        <v>51</v>
      </c>
      <c r="J43" s="63">
        <f t="shared" si="2"/>
        <v>1</v>
      </c>
      <c r="K43" s="64"/>
      <c r="L43" s="33"/>
      <c r="M43" s="255"/>
      <c r="N43" s="255"/>
      <c r="O43" s="255"/>
    </row>
    <row r="44" spans="1:17" ht="45" customHeight="1" x14ac:dyDescent="0.2">
      <c r="F44" s="47" t="s">
        <v>70</v>
      </c>
      <c r="G44" s="47"/>
      <c r="H44" s="48"/>
      <c r="I44" s="47"/>
      <c r="J44" s="48">
        <f>SUM(J27:J43)</f>
        <v>17</v>
      </c>
      <c r="K44" s="48">
        <f>SUM(K27:K43)</f>
        <v>0</v>
      </c>
      <c r="L44" s="33" t="str">
        <f>IF(K44&gt;J44,"!","")</f>
        <v/>
      </c>
      <c r="M44" s="257"/>
      <c r="N44" s="249"/>
      <c r="O44" s="249"/>
    </row>
    <row r="45" spans="1:17" ht="45" customHeight="1" x14ac:dyDescent="0.2">
      <c r="F45" s="70"/>
      <c r="G45" s="70"/>
      <c r="H45" s="6"/>
      <c r="I45" s="70"/>
      <c r="J45" s="6"/>
      <c r="K45" s="6"/>
      <c r="L45" s="71"/>
      <c r="M45" s="259"/>
      <c r="N45" s="249"/>
      <c r="O45" s="249"/>
    </row>
    <row r="46" spans="1:17" ht="45" customHeight="1" x14ac:dyDescent="0.2">
      <c r="F46" s="333" t="s">
        <v>2</v>
      </c>
      <c r="G46" s="333"/>
      <c r="H46" s="333"/>
      <c r="I46" s="333"/>
      <c r="J46" s="58">
        <f>22-SUM(B47:B64)</f>
        <v>22</v>
      </c>
      <c r="K46" s="58"/>
      <c r="L46" s="72"/>
      <c r="M46" s="254"/>
      <c r="N46" s="254"/>
      <c r="O46" s="254"/>
    </row>
    <row r="47" spans="1:17" ht="45" customHeight="1" x14ac:dyDescent="0.2">
      <c r="F47" s="347" t="s">
        <v>94</v>
      </c>
      <c r="G47" s="357" t="s">
        <v>282</v>
      </c>
      <c r="H47" s="196" t="s">
        <v>234</v>
      </c>
      <c r="I47" s="131" t="s">
        <v>97</v>
      </c>
      <c r="J47" s="130" t="s">
        <v>98</v>
      </c>
      <c r="K47" s="99"/>
      <c r="L47" s="355" t="str">
        <f>IF(SUM(K48:K54)&gt;5,"Error: the total number of available points for the 'Prescriptive Pathway' is 5. Please enter a points score less than or equal to 5.","")</f>
        <v/>
      </c>
      <c r="M47" s="255"/>
      <c r="N47" s="255"/>
      <c r="O47" s="255"/>
      <c r="Q47" s="11" t="s">
        <v>189</v>
      </c>
    </row>
    <row r="48" spans="1:17" ht="45" customHeight="1" x14ac:dyDescent="0.2">
      <c r="F48" s="348"/>
      <c r="G48" s="350"/>
      <c r="H48" s="197" t="s">
        <v>235</v>
      </c>
      <c r="I48" s="133" t="s">
        <v>191</v>
      </c>
      <c r="J48" s="132" t="str">
        <f t="shared" ref="J48:J53" si="3">IF($G$47=$Q$47,1,"-")</f>
        <v>-</v>
      </c>
      <c r="K48" s="77"/>
      <c r="L48" s="355"/>
      <c r="M48" s="255"/>
      <c r="N48" s="255"/>
      <c r="O48" s="255"/>
      <c r="Q48" s="11" t="s">
        <v>190</v>
      </c>
    </row>
    <row r="49" spans="6:17" ht="45" customHeight="1" x14ac:dyDescent="0.2">
      <c r="F49" s="348"/>
      <c r="G49" s="350"/>
      <c r="H49" s="197" t="s">
        <v>236</v>
      </c>
      <c r="I49" s="133" t="s">
        <v>192</v>
      </c>
      <c r="J49" s="132" t="str">
        <f t="shared" si="3"/>
        <v>-</v>
      </c>
      <c r="K49" s="77"/>
      <c r="L49" s="355"/>
      <c r="M49" s="255"/>
      <c r="N49" s="255"/>
      <c r="O49" s="255"/>
      <c r="Q49" s="11" t="s">
        <v>281</v>
      </c>
    </row>
    <row r="50" spans="6:17" ht="45" customHeight="1" x14ac:dyDescent="0.2">
      <c r="F50" s="348"/>
      <c r="G50" s="350"/>
      <c r="H50" s="197" t="s">
        <v>237</v>
      </c>
      <c r="I50" s="133" t="s">
        <v>193</v>
      </c>
      <c r="J50" s="132" t="str">
        <f t="shared" si="3"/>
        <v>-</v>
      </c>
      <c r="K50" s="77"/>
      <c r="L50" s="355"/>
      <c r="M50" s="255"/>
      <c r="N50" s="255"/>
      <c r="O50" s="255"/>
      <c r="Q50" s="11" t="s">
        <v>283</v>
      </c>
    </row>
    <row r="51" spans="6:17" ht="45" customHeight="1" x14ac:dyDescent="0.2">
      <c r="F51" s="348"/>
      <c r="G51" s="350"/>
      <c r="H51" s="197" t="s">
        <v>238</v>
      </c>
      <c r="I51" s="207" t="s">
        <v>302</v>
      </c>
      <c r="J51" s="132" t="str">
        <f t="shared" si="3"/>
        <v>-</v>
      </c>
      <c r="K51" s="77"/>
      <c r="L51" s="355"/>
      <c r="M51" s="255"/>
      <c r="N51" s="255"/>
      <c r="O51" s="255"/>
      <c r="Q51" s="11" t="s">
        <v>282</v>
      </c>
    </row>
    <row r="52" spans="6:17" ht="45" customHeight="1" x14ac:dyDescent="0.2">
      <c r="F52" s="348"/>
      <c r="G52" s="350"/>
      <c r="H52" s="197" t="s">
        <v>239</v>
      </c>
      <c r="I52" s="133" t="s">
        <v>195</v>
      </c>
      <c r="J52" s="132" t="str">
        <f t="shared" si="3"/>
        <v>-</v>
      </c>
      <c r="K52" s="77"/>
      <c r="L52" s="355"/>
      <c r="M52" s="255"/>
      <c r="N52" s="255"/>
      <c r="O52" s="255"/>
    </row>
    <row r="53" spans="6:17" ht="45" customHeight="1" x14ac:dyDescent="0.2">
      <c r="F53" s="348"/>
      <c r="G53" s="350"/>
      <c r="H53" s="197" t="s">
        <v>240</v>
      </c>
      <c r="I53" s="207" t="s">
        <v>194</v>
      </c>
      <c r="J53" s="132" t="str">
        <f t="shared" si="3"/>
        <v>-</v>
      </c>
      <c r="K53" s="77"/>
      <c r="L53" s="355"/>
      <c r="M53" s="255"/>
      <c r="N53" s="255"/>
      <c r="O53" s="255"/>
    </row>
    <row r="54" spans="6:17" ht="45" customHeight="1" x14ac:dyDescent="0.2">
      <c r="F54" s="348"/>
      <c r="G54" s="350"/>
      <c r="H54" s="197" t="s">
        <v>289</v>
      </c>
      <c r="I54" s="207" t="s">
        <v>290</v>
      </c>
      <c r="J54" s="132" t="str">
        <f>IF($G$47=$Q$47,2,"-")</f>
        <v>-</v>
      </c>
      <c r="K54" s="77"/>
      <c r="L54" s="355"/>
      <c r="M54" s="255"/>
      <c r="N54" s="255"/>
      <c r="O54" s="255"/>
    </row>
    <row r="55" spans="6:17" ht="45" customHeight="1" x14ac:dyDescent="0.2">
      <c r="F55" s="348"/>
      <c r="G55" s="350"/>
      <c r="H55" s="197" t="s">
        <v>241</v>
      </c>
      <c r="I55" s="133" t="s">
        <v>96</v>
      </c>
      <c r="J55" s="132" t="s">
        <v>98</v>
      </c>
      <c r="K55" s="96"/>
      <c r="L55" s="33"/>
      <c r="M55" s="255"/>
      <c r="N55" s="255"/>
      <c r="O55" s="255"/>
    </row>
    <row r="56" spans="6:17" ht="45" customHeight="1" x14ac:dyDescent="0.2">
      <c r="F56" s="348"/>
      <c r="G56" s="350"/>
      <c r="H56" s="197" t="s">
        <v>242</v>
      </c>
      <c r="I56" s="133" t="s">
        <v>44</v>
      </c>
      <c r="J56" s="132" t="str">
        <f>IF(G47=Q48,12,"-")</f>
        <v>-</v>
      </c>
      <c r="K56" s="96"/>
      <c r="L56" s="33" t="str">
        <f>IF(AND(K56&gt;0,$K$55&lt;&gt;$T$8),"!","")</f>
        <v/>
      </c>
      <c r="M56" s="255"/>
      <c r="N56" s="255"/>
      <c r="O56" s="255"/>
    </row>
    <row r="57" spans="6:17" ht="45" customHeight="1" x14ac:dyDescent="0.2">
      <c r="F57" s="348"/>
      <c r="G57" s="350"/>
      <c r="H57" s="197" t="s">
        <v>243</v>
      </c>
      <c r="I57" s="207" t="s">
        <v>284</v>
      </c>
      <c r="J57" s="132" t="s">
        <v>98</v>
      </c>
      <c r="K57" s="96"/>
      <c r="L57" s="33"/>
      <c r="M57" s="255"/>
      <c r="N57" s="255"/>
      <c r="O57" s="255"/>
    </row>
    <row r="58" spans="6:17" ht="45" customHeight="1" x14ac:dyDescent="0.2">
      <c r="F58" s="348"/>
      <c r="G58" s="350"/>
      <c r="H58" s="197" t="s">
        <v>244</v>
      </c>
      <c r="I58" s="207" t="s">
        <v>288</v>
      </c>
      <c r="J58" s="132" t="str">
        <f>IF(G47=Q49,16,"-")</f>
        <v>-</v>
      </c>
      <c r="K58" s="96"/>
      <c r="L58" s="33" t="str">
        <f>IF(AND(K58&gt;0,$K$57&lt;&gt;$T$8),"!","")</f>
        <v/>
      </c>
      <c r="M58" s="255"/>
      <c r="N58" s="255"/>
      <c r="O58" s="255"/>
    </row>
    <row r="59" spans="6:17" ht="45" customHeight="1" x14ac:dyDescent="0.2">
      <c r="F59" s="348"/>
      <c r="G59" s="350"/>
      <c r="H59" s="197" t="s">
        <v>245</v>
      </c>
      <c r="I59" s="207" t="s">
        <v>196</v>
      </c>
      <c r="J59" s="132" t="s">
        <v>98</v>
      </c>
      <c r="K59" s="96"/>
      <c r="L59" s="33"/>
      <c r="M59" s="255"/>
      <c r="N59" s="255"/>
      <c r="O59" s="255"/>
    </row>
    <row r="60" spans="6:17" ht="45" customHeight="1" x14ac:dyDescent="0.2">
      <c r="F60" s="348"/>
      <c r="G60" s="350"/>
      <c r="H60" s="197" t="s">
        <v>246</v>
      </c>
      <c r="I60" s="207" t="s">
        <v>197</v>
      </c>
      <c r="J60" s="132" t="str">
        <f>IF(G47=Q50,16,"-")</f>
        <v>-</v>
      </c>
      <c r="K60" s="96"/>
      <c r="L60" s="33" t="str">
        <f>IF(AND(K60&gt;0,$K$59&lt;&gt;$T$8),"!","")</f>
        <v/>
      </c>
      <c r="M60" s="255"/>
      <c r="N60" s="255"/>
      <c r="O60" s="255"/>
    </row>
    <row r="61" spans="6:17" ht="45" customHeight="1" x14ac:dyDescent="0.2">
      <c r="F61" s="348"/>
      <c r="G61" s="350"/>
      <c r="H61" s="197" t="s">
        <v>286</v>
      </c>
      <c r="I61" s="235" t="s">
        <v>303</v>
      </c>
      <c r="J61" s="197" t="s">
        <v>98</v>
      </c>
      <c r="K61" s="96"/>
      <c r="L61" s="33"/>
      <c r="M61" s="255"/>
      <c r="N61" s="255"/>
      <c r="O61" s="255"/>
    </row>
    <row r="62" spans="6:17" ht="45" customHeight="1" x14ac:dyDescent="0.2">
      <c r="F62" s="349"/>
      <c r="G62" s="358"/>
      <c r="H62" s="197" t="s">
        <v>285</v>
      </c>
      <c r="I62" s="207" t="s">
        <v>287</v>
      </c>
      <c r="J62" s="132">
        <f>IF(G47=Q51,20,"-")</f>
        <v>20</v>
      </c>
      <c r="K62" s="96"/>
      <c r="L62" s="33" t="str">
        <f>IF(AND(K62&gt;0,K61&lt;&gt;$T$8),"!","")</f>
        <v/>
      </c>
      <c r="M62" s="255"/>
      <c r="N62" s="255"/>
      <c r="O62" s="255"/>
    </row>
    <row r="63" spans="6:17" ht="45" customHeight="1" x14ac:dyDescent="0.2">
      <c r="F63" s="343" t="s">
        <v>95</v>
      </c>
      <c r="G63" s="345" t="s">
        <v>122</v>
      </c>
      <c r="H63" s="198" t="s">
        <v>247</v>
      </c>
      <c r="I63" s="208" t="s">
        <v>291</v>
      </c>
      <c r="J63" s="128" t="str">
        <f>IF(G63=Q63,1,"-")</f>
        <v>-</v>
      </c>
      <c r="K63" s="96"/>
      <c r="L63" s="79"/>
      <c r="M63" s="255"/>
      <c r="N63" s="255"/>
      <c r="O63" s="255"/>
      <c r="Q63" s="9" t="s">
        <v>198</v>
      </c>
    </row>
    <row r="64" spans="6:17" ht="45" customHeight="1" x14ac:dyDescent="0.2">
      <c r="F64" s="344"/>
      <c r="G64" s="346"/>
      <c r="H64" s="199" t="s">
        <v>248</v>
      </c>
      <c r="I64" s="209" t="s">
        <v>292</v>
      </c>
      <c r="J64" s="129">
        <f>IF(G63=Q64,2,"-")</f>
        <v>2</v>
      </c>
      <c r="K64" s="103"/>
      <c r="L64" s="75"/>
      <c r="M64" s="255"/>
      <c r="N64" s="255"/>
      <c r="O64" s="255"/>
      <c r="Q64" s="11" t="s">
        <v>122</v>
      </c>
    </row>
    <row r="65" spans="1:17" ht="45" customHeight="1" x14ac:dyDescent="0.2">
      <c r="F65" s="47" t="s">
        <v>70</v>
      </c>
      <c r="G65" s="47"/>
      <c r="H65" s="48"/>
      <c r="I65" s="47"/>
      <c r="J65" s="48">
        <f>IF(G47=Q47,5+SUM(J63:J64),SUM(J47:J64))</f>
        <v>22</v>
      </c>
      <c r="K65" s="48">
        <f>SUM(K47:K64)</f>
        <v>0</v>
      </c>
      <c r="L65" s="33" t="str">
        <f>IF(K65&gt;J65,"!","")</f>
        <v/>
      </c>
      <c r="M65" s="257"/>
      <c r="N65" s="249"/>
      <c r="O65" s="249"/>
    </row>
    <row r="66" spans="1:17" ht="45" customHeight="1" x14ac:dyDescent="0.25">
      <c r="L66" s="80"/>
      <c r="M66" s="260"/>
      <c r="N66" s="249"/>
      <c r="O66" s="249"/>
    </row>
    <row r="67" spans="1:17" ht="45" customHeight="1" x14ac:dyDescent="0.2">
      <c r="F67" s="233" t="s">
        <v>3</v>
      </c>
      <c r="G67" s="81"/>
      <c r="H67" s="82"/>
      <c r="I67" s="81"/>
      <c r="J67" s="58">
        <f>10-SUM(B68:B73)</f>
        <v>10</v>
      </c>
      <c r="K67" s="58"/>
      <c r="L67" s="79"/>
      <c r="M67" s="254"/>
      <c r="N67" s="254"/>
      <c r="O67" s="254"/>
    </row>
    <row r="68" spans="1:17" ht="45" customHeight="1" x14ac:dyDescent="0.2">
      <c r="F68" s="347" t="s">
        <v>121</v>
      </c>
      <c r="G68" s="350" t="s">
        <v>198</v>
      </c>
      <c r="H68" s="83" t="s">
        <v>249</v>
      </c>
      <c r="I68" s="84" t="s">
        <v>122</v>
      </c>
      <c r="J68" s="85">
        <f>IF(G68=Q68,10,0)</f>
        <v>0</v>
      </c>
      <c r="K68" s="74"/>
      <c r="L68" s="75"/>
      <c r="M68" s="255"/>
      <c r="N68" s="255"/>
      <c r="O68" s="255"/>
      <c r="Q68" s="9" t="s">
        <v>122</v>
      </c>
    </row>
    <row r="69" spans="1:17" ht="45" customHeight="1" x14ac:dyDescent="0.2">
      <c r="F69" s="348"/>
      <c r="G69" s="350"/>
      <c r="H69" s="86" t="s">
        <v>250</v>
      </c>
      <c r="I69" s="87" t="s">
        <v>37</v>
      </c>
      <c r="J69" s="88">
        <f>IF($G$68=$Q$69,3,0)</f>
        <v>3</v>
      </c>
      <c r="K69" s="76"/>
      <c r="L69" s="75"/>
      <c r="M69" s="255"/>
      <c r="N69" s="255"/>
      <c r="O69" s="255"/>
      <c r="Q69" s="9" t="s">
        <v>198</v>
      </c>
    </row>
    <row r="70" spans="1:17" ht="45" customHeight="1" x14ac:dyDescent="0.2">
      <c r="A70" s="189">
        <v>1</v>
      </c>
      <c r="B70" s="189">
        <f>IF(C70=TRUE,1,0)</f>
        <v>0</v>
      </c>
      <c r="C70" s="189" t="b">
        <v>0</v>
      </c>
      <c r="F70" s="348"/>
      <c r="G70" s="350"/>
      <c r="H70" s="86" t="s">
        <v>251</v>
      </c>
      <c r="I70" s="159" t="s">
        <v>38</v>
      </c>
      <c r="J70" s="88">
        <f>IF(OR($G$68=$Q$68,C70=TRUE),0,1)</f>
        <v>1</v>
      </c>
      <c r="K70" s="76"/>
      <c r="L70" s="75"/>
      <c r="M70" s="255"/>
      <c r="N70" s="255"/>
      <c r="O70" s="255"/>
    </row>
    <row r="71" spans="1:17" ht="45" customHeight="1" x14ac:dyDescent="0.2">
      <c r="A71" s="189">
        <v>1</v>
      </c>
      <c r="B71" s="189">
        <f>IF(C71=TRUE,1,0)</f>
        <v>0</v>
      </c>
      <c r="C71" s="189" t="b">
        <v>0</v>
      </c>
      <c r="F71" s="348"/>
      <c r="G71" s="350"/>
      <c r="H71" s="86" t="s">
        <v>252</v>
      </c>
      <c r="I71" s="159" t="s">
        <v>39</v>
      </c>
      <c r="J71" s="88">
        <f>IF(OR($G$68=$Q$68,C71=TRUE),0,1)</f>
        <v>1</v>
      </c>
      <c r="K71" s="76"/>
      <c r="L71" s="75"/>
      <c r="M71" s="255"/>
      <c r="N71" s="255"/>
      <c r="O71" s="255"/>
    </row>
    <row r="72" spans="1:17" ht="45" customHeight="1" x14ac:dyDescent="0.2">
      <c r="F72" s="348"/>
      <c r="G72" s="350"/>
      <c r="H72" s="86" t="s">
        <v>253</v>
      </c>
      <c r="I72" s="87" t="s">
        <v>40</v>
      </c>
      <c r="J72" s="88">
        <f>IF($G$68=$Q$69,1,0)</f>
        <v>1</v>
      </c>
      <c r="K72" s="76"/>
      <c r="L72" s="75"/>
      <c r="M72" s="255"/>
      <c r="N72" s="255"/>
      <c r="O72" s="255"/>
    </row>
    <row r="73" spans="1:17" ht="45" customHeight="1" x14ac:dyDescent="0.2">
      <c r="F73" s="349"/>
      <c r="G73" s="350"/>
      <c r="H73" s="89" t="s">
        <v>254</v>
      </c>
      <c r="I73" s="90" t="s">
        <v>182</v>
      </c>
      <c r="J73" s="91">
        <f>IF($G$68=$Q$69,1,0)</f>
        <v>1</v>
      </c>
      <c r="K73" s="78"/>
      <c r="L73" s="75"/>
      <c r="M73" s="255"/>
      <c r="N73" s="255"/>
      <c r="O73" s="255"/>
    </row>
    <row r="74" spans="1:17" ht="45" customHeight="1" x14ac:dyDescent="0.2">
      <c r="F74" s="47" t="s">
        <v>70</v>
      </c>
      <c r="G74" s="47"/>
      <c r="H74" s="48"/>
      <c r="I74" s="47"/>
      <c r="J74" s="48">
        <f>SUM(J68:J73)</f>
        <v>7</v>
      </c>
      <c r="K74" s="48">
        <f>SUM(K68:K73)</f>
        <v>0</v>
      </c>
      <c r="L74" s="33" t="str">
        <f>IF(K74&gt;J74,"!","")</f>
        <v/>
      </c>
      <c r="M74" s="257"/>
      <c r="N74" s="249"/>
      <c r="O74" s="249"/>
    </row>
    <row r="75" spans="1:17" ht="45" customHeight="1" x14ac:dyDescent="0.25">
      <c r="L75" s="80"/>
      <c r="M75" s="260"/>
    </row>
    <row r="76" spans="1:17" ht="45" customHeight="1" x14ac:dyDescent="0.2">
      <c r="F76" s="233" t="s">
        <v>4</v>
      </c>
      <c r="G76" s="81"/>
      <c r="H76" s="82"/>
      <c r="I76" s="81"/>
      <c r="J76" s="58">
        <f>12-SUM(B77:B82)</f>
        <v>12</v>
      </c>
      <c r="K76" s="58"/>
      <c r="L76" s="79"/>
      <c r="M76" s="254"/>
      <c r="N76" s="254"/>
      <c r="O76" s="254"/>
    </row>
    <row r="77" spans="1:17" ht="45" customHeight="1" x14ac:dyDescent="0.2">
      <c r="F77" s="351" t="s">
        <v>10</v>
      </c>
      <c r="G77" s="350" t="s">
        <v>198</v>
      </c>
      <c r="H77" s="83" t="s">
        <v>255</v>
      </c>
      <c r="I77" s="84" t="s">
        <v>293</v>
      </c>
      <c r="J77" s="85">
        <f>IF(G77=Q77,12,0)</f>
        <v>0</v>
      </c>
      <c r="K77" s="92"/>
      <c r="L77" s="75"/>
      <c r="M77" s="255"/>
      <c r="N77" s="255"/>
      <c r="O77" s="255"/>
      <c r="Q77" s="9" t="s">
        <v>122</v>
      </c>
    </row>
    <row r="78" spans="1:17" ht="45" customHeight="1" x14ac:dyDescent="0.2">
      <c r="F78" s="343"/>
      <c r="G78" s="350"/>
      <c r="H78" s="86" t="s">
        <v>256</v>
      </c>
      <c r="I78" s="87" t="s">
        <v>123</v>
      </c>
      <c r="J78" s="88">
        <f>IF($G$77=$Q$78,1,0)</f>
        <v>1</v>
      </c>
      <c r="K78" s="93"/>
      <c r="L78" s="75"/>
      <c r="M78" s="255"/>
      <c r="N78" s="255"/>
      <c r="O78" s="255"/>
      <c r="Q78" s="9" t="s">
        <v>198</v>
      </c>
    </row>
    <row r="79" spans="1:17" ht="45" customHeight="1" x14ac:dyDescent="0.2">
      <c r="F79" s="343"/>
      <c r="G79" s="350"/>
      <c r="H79" s="86" t="s">
        <v>257</v>
      </c>
      <c r="I79" s="87" t="s">
        <v>124</v>
      </c>
      <c r="J79" s="88">
        <f>IF($G$77=$Q$78,1,0)</f>
        <v>1</v>
      </c>
      <c r="K79" s="93"/>
      <c r="L79" s="75"/>
      <c r="M79" s="255"/>
      <c r="N79" s="255"/>
      <c r="O79" s="255"/>
    </row>
    <row r="80" spans="1:17" ht="45" customHeight="1" x14ac:dyDescent="0.2">
      <c r="F80" s="343"/>
      <c r="G80" s="350"/>
      <c r="H80" s="86" t="s">
        <v>258</v>
      </c>
      <c r="I80" s="87" t="s">
        <v>125</v>
      </c>
      <c r="J80" s="88">
        <f>IF($G$77=$Q$78,2,0)</f>
        <v>2</v>
      </c>
      <c r="K80" s="93"/>
      <c r="L80" s="75"/>
      <c r="M80" s="255"/>
      <c r="N80" s="255"/>
      <c r="O80" s="255"/>
    </row>
    <row r="81" spans="1:17" ht="45" customHeight="1" x14ac:dyDescent="0.2">
      <c r="A81" s="189">
        <v>1</v>
      </c>
      <c r="B81" s="189">
        <f t="shared" ref="B81:B82" si="4">IF(C81=TRUE,A81,0)</f>
        <v>0</v>
      </c>
      <c r="C81" s="189" t="b">
        <v>0</v>
      </c>
      <c r="F81" s="343"/>
      <c r="G81" s="350"/>
      <c r="H81" s="86" t="s">
        <v>259</v>
      </c>
      <c r="I81" s="159" t="s">
        <v>126</v>
      </c>
      <c r="J81" s="88">
        <f>IF(OR($G$77=$Q$77,C81=TRUE),0,1)</f>
        <v>1</v>
      </c>
      <c r="K81" s="93"/>
      <c r="L81" s="75"/>
      <c r="M81" s="255"/>
      <c r="N81" s="255"/>
      <c r="O81" s="255"/>
    </row>
    <row r="82" spans="1:17" ht="45" customHeight="1" x14ac:dyDescent="0.2">
      <c r="A82" s="189">
        <v>1</v>
      </c>
      <c r="B82" s="189">
        <f t="shared" si="4"/>
        <v>0</v>
      </c>
      <c r="C82" s="189" t="b">
        <v>0</v>
      </c>
      <c r="F82" s="344"/>
      <c r="G82" s="350"/>
      <c r="H82" s="89" t="s">
        <v>260</v>
      </c>
      <c r="I82" s="159" t="s">
        <v>127</v>
      </c>
      <c r="J82" s="91">
        <f>IF(OR($G$77=$Q$77,C82=TRUE),0,1)</f>
        <v>1</v>
      </c>
      <c r="K82" s="94"/>
      <c r="L82" s="75"/>
      <c r="M82" s="255"/>
      <c r="N82" s="255"/>
      <c r="O82" s="255"/>
    </row>
    <row r="83" spans="1:17" ht="45" customHeight="1" x14ac:dyDescent="0.2">
      <c r="F83" s="47" t="s">
        <v>70</v>
      </c>
      <c r="G83" s="47"/>
      <c r="H83" s="48"/>
      <c r="I83" s="47"/>
      <c r="J83" s="48">
        <f>SUM(J77:J82)</f>
        <v>6</v>
      </c>
      <c r="K83" s="48">
        <f>SUM(K77:K82)</f>
        <v>0</v>
      </c>
      <c r="L83" s="33" t="str">
        <f>IF(K83&gt;J83,"!","")</f>
        <v/>
      </c>
      <c r="M83" s="257"/>
      <c r="N83" s="249"/>
      <c r="O83" s="249"/>
    </row>
    <row r="84" spans="1:17" ht="45" customHeight="1" x14ac:dyDescent="0.25">
      <c r="L84" s="80"/>
      <c r="M84" s="260"/>
    </row>
    <row r="85" spans="1:17" ht="45" customHeight="1" x14ac:dyDescent="0.2">
      <c r="F85" s="233" t="s">
        <v>5</v>
      </c>
      <c r="G85" s="81"/>
      <c r="H85" s="58"/>
      <c r="I85" s="81"/>
      <c r="J85" s="58">
        <f>14-SUM(B86:B96)</f>
        <v>14</v>
      </c>
      <c r="K85" s="58"/>
      <c r="L85" s="79"/>
      <c r="M85" s="254"/>
      <c r="N85" s="254"/>
      <c r="O85" s="254"/>
      <c r="Q85" s="9"/>
    </row>
    <row r="86" spans="1:17" ht="45" customHeight="1" x14ac:dyDescent="0.2">
      <c r="F86" s="352" t="s">
        <v>148</v>
      </c>
      <c r="G86" s="350" t="s">
        <v>294</v>
      </c>
      <c r="H86" s="136" t="s">
        <v>270</v>
      </c>
      <c r="I86" s="236" t="s">
        <v>41</v>
      </c>
      <c r="J86" s="95">
        <f>IF($G$86=$Q$86,6,0)</f>
        <v>0</v>
      </c>
      <c r="K86" s="77"/>
      <c r="L86" s="75"/>
      <c r="M86" s="255"/>
      <c r="N86" s="255"/>
      <c r="O86" s="255"/>
      <c r="Q86" s="65" t="s">
        <v>280</v>
      </c>
    </row>
    <row r="87" spans="1:17" ht="45" customHeight="1" x14ac:dyDescent="0.2">
      <c r="F87" s="353"/>
      <c r="G87" s="350"/>
      <c r="H87" s="136" t="s">
        <v>271</v>
      </c>
      <c r="I87" s="236" t="s">
        <v>42</v>
      </c>
      <c r="J87" s="95">
        <f>IF($G$86=$Q$86,1,0)</f>
        <v>0</v>
      </c>
      <c r="K87" s="77"/>
      <c r="L87" s="75"/>
      <c r="M87" s="255"/>
      <c r="N87" s="255"/>
      <c r="O87" s="255"/>
      <c r="Q87" s="11" t="s">
        <v>294</v>
      </c>
    </row>
    <row r="88" spans="1:17" ht="45" customHeight="1" x14ac:dyDescent="0.2">
      <c r="F88" s="353"/>
      <c r="G88" s="350"/>
      <c r="H88" s="136" t="s">
        <v>261</v>
      </c>
      <c r="I88" s="155" t="s">
        <v>159</v>
      </c>
      <c r="J88" s="95">
        <f>IF($G$86=$Q$87,3,0)</f>
        <v>3</v>
      </c>
      <c r="K88" s="77"/>
      <c r="L88" s="334" t="str">
        <f>IF(SUM(K88:K90)&gt;5,"Error: the total number of points available for the 'Material Use' Pathway is 5. Please enter a points score less than or equal to 5.","")</f>
        <v/>
      </c>
      <c r="M88" s="255"/>
      <c r="N88" s="255"/>
      <c r="O88" s="255"/>
    </row>
    <row r="89" spans="1:17" ht="45" customHeight="1" x14ac:dyDescent="0.2">
      <c r="F89" s="353"/>
      <c r="G89" s="350"/>
      <c r="H89" s="136" t="s">
        <v>262</v>
      </c>
      <c r="I89" s="155" t="s">
        <v>160</v>
      </c>
      <c r="J89" s="95">
        <f>IF($G$86=$Q$87,1,0)</f>
        <v>1</v>
      </c>
      <c r="K89" s="77"/>
      <c r="L89" s="334"/>
      <c r="M89" s="255"/>
      <c r="N89" s="255"/>
      <c r="O89" s="255"/>
    </row>
    <row r="90" spans="1:17" ht="45" customHeight="1" x14ac:dyDescent="0.2">
      <c r="A90" s="189">
        <v>4</v>
      </c>
      <c r="B90" s="189">
        <f t="shared" ref="B90:B93" si="5">IF(C90=TRUE,A90,0)</f>
        <v>0</v>
      </c>
      <c r="F90" s="354"/>
      <c r="G90" s="350"/>
      <c r="H90" s="136" t="s">
        <v>263</v>
      </c>
      <c r="I90" s="156" t="s">
        <v>161</v>
      </c>
      <c r="J90" s="95">
        <f>IF($G$86=$Q$87,4,0)</f>
        <v>4</v>
      </c>
      <c r="K90" s="77"/>
      <c r="L90" s="334"/>
      <c r="M90" s="255"/>
      <c r="N90" s="255"/>
      <c r="O90" s="255"/>
    </row>
    <row r="91" spans="1:17" ht="45" customHeight="1" x14ac:dyDescent="0.2">
      <c r="A91" s="189">
        <v>1</v>
      </c>
      <c r="B91" s="189">
        <f t="shared" si="5"/>
        <v>0</v>
      </c>
      <c r="C91" s="189" t="b">
        <v>0</v>
      </c>
      <c r="F91" s="335" t="s">
        <v>147</v>
      </c>
      <c r="G91" s="337" t="s">
        <v>150</v>
      </c>
      <c r="H91" s="154">
        <v>20.100000000000001</v>
      </c>
      <c r="I91" s="153" t="s">
        <v>304</v>
      </c>
      <c r="J91" s="95">
        <f>IF(C91=TRUE,0,1)</f>
        <v>1</v>
      </c>
      <c r="K91" s="64"/>
      <c r="L91" s="75"/>
      <c r="M91" s="255"/>
      <c r="N91" s="255"/>
      <c r="O91" s="255"/>
    </row>
    <row r="92" spans="1:17" ht="45" customHeight="1" x14ac:dyDescent="0.2">
      <c r="A92" s="189">
        <v>1</v>
      </c>
      <c r="B92" s="189">
        <f t="shared" si="5"/>
        <v>0</v>
      </c>
      <c r="C92" s="189" t="b">
        <v>0</v>
      </c>
      <c r="F92" s="336"/>
      <c r="G92" s="338"/>
      <c r="H92" s="154">
        <v>20.2</v>
      </c>
      <c r="I92" s="153" t="s">
        <v>305</v>
      </c>
      <c r="J92" s="95">
        <f t="shared" ref="J92:J93" si="6">IF(C92=TRUE,0,1)</f>
        <v>1</v>
      </c>
      <c r="K92" s="64"/>
      <c r="L92" s="33"/>
      <c r="M92" s="255"/>
      <c r="N92" s="255"/>
      <c r="O92" s="255"/>
    </row>
    <row r="93" spans="1:17" ht="45" customHeight="1" x14ac:dyDescent="0.2">
      <c r="A93" s="189">
        <v>1</v>
      </c>
      <c r="B93" s="189">
        <f t="shared" si="5"/>
        <v>0</v>
      </c>
      <c r="C93" s="189" t="b">
        <v>0</v>
      </c>
      <c r="F93" s="327"/>
      <c r="G93" s="339"/>
      <c r="H93" s="154">
        <v>20.3</v>
      </c>
      <c r="I93" s="153" t="s">
        <v>306</v>
      </c>
      <c r="J93" s="95">
        <f t="shared" si="6"/>
        <v>1</v>
      </c>
      <c r="K93" s="64"/>
      <c r="L93" s="33"/>
      <c r="M93" s="255"/>
      <c r="N93" s="255"/>
      <c r="O93" s="255"/>
    </row>
    <row r="94" spans="1:17" ht="45" customHeight="1" x14ac:dyDescent="0.2">
      <c r="F94" s="225" t="s">
        <v>63</v>
      </c>
      <c r="G94" s="151" t="s">
        <v>149</v>
      </c>
      <c r="H94" s="152">
        <v>21.1</v>
      </c>
      <c r="I94" s="153" t="s">
        <v>307</v>
      </c>
      <c r="J94" s="95">
        <v>3</v>
      </c>
      <c r="K94" s="64"/>
      <c r="L94" s="79"/>
      <c r="M94" s="255"/>
      <c r="N94" s="255"/>
      <c r="O94" s="255"/>
    </row>
    <row r="95" spans="1:17" ht="45" customHeight="1" x14ac:dyDescent="0.2">
      <c r="F95" s="335" t="s">
        <v>164</v>
      </c>
      <c r="G95" s="341" t="s">
        <v>312</v>
      </c>
      <c r="H95" s="244" t="s">
        <v>313</v>
      </c>
      <c r="I95" s="153" t="s">
        <v>311</v>
      </c>
      <c r="J95" s="95" t="str">
        <f>IF(G95=Q95,1,"-")</f>
        <v>-</v>
      </c>
      <c r="K95" s="64"/>
      <c r="L95" s="79"/>
      <c r="M95" s="255"/>
      <c r="N95" s="255"/>
      <c r="O95" s="255"/>
      <c r="Q95" s="11" t="s">
        <v>311</v>
      </c>
    </row>
    <row r="96" spans="1:17" ht="45" customHeight="1" x14ac:dyDescent="0.2">
      <c r="F96" s="327"/>
      <c r="G96" s="342"/>
      <c r="H96" s="244" t="s">
        <v>314</v>
      </c>
      <c r="I96" s="228" t="s">
        <v>312</v>
      </c>
      <c r="J96" s="95">
        <f>IF(G95=Q96,1,"-")</f>
        <v>1</v>
      </c>
      <c r="K96" s="64"/>
      <c r="L96" s="33"/>
      <c r="M96" s="255"/>
      <c r="N96" s="255"/>
      <c r="O96" s="255"/>
      <c r="Q96" s="11" t="s">
        <v>312</v>
      </c>
    </row>
    <row r="97" spans="1:15" ht="45" customHeight="1" x14ac:dyDescent="0.2">
      <c r="F97" s="47" t="s">
        <v>70</v>
      </c>
      <c r="G97" s="47"/>
      <c r="H97" s="48"/>
      <c r="I97" s="47"/>
      <c r="J97" s="48">
        <f>IF(G86=Q87,12,14)</f>
        <v>12</v>
      </c>
      <c r="K97" s="48">
        <f>SUM(K86:K96)</f>
        <v>0</v>
      </c>
      <c r="L97" s="33" t="str">
        <f>IF(K97&gt;J97,"!","")</f>
        <v/>
      </c>
      <c r="M97" s="257"/>
      <c r="N97" s="249"/>
      <c r="O97" s="249"/>
    </row>
    <row r="98" spans="1:15" ht="45" customHeight="1" x14ac:dyDescent="0.25">
      <c r="L98" s="80"/>
      <c r="M98" s="260"/>
    </row>
    <row r="99" spans="1:15" ht="45" customHeight="1" x14ac:dyDescent="0.2">
      <c r="F99" s="333" t="s">
        <v>11</v>
      </c>
      <c r="G99" s="333"/>
      <c r="H99" s="333"/>
      <c r="I99" s="333"/>
      <c r="J99" s="58">
        <f>6-SUM(B100:B105)</f>
        <v>6</v>
      </c>
      <c r="K99" s="58"/>
      <c r="L99" s="79"/>
      <c r="M99" s="254"/>
      <c r="N99" s="254"/>
      <c r="O99" s="254"/>
    </row>
    <row r="100" spans="1:15" ht="45" customHeight="1" x14ac:dyDescent="0.2">
      <c r="F100" s="327" t="s">
        <v>12</v>
      </c>
      <c r="G100" s="329" t="s">
        <v>129</v>
      </c>
      <c r="H100" s="97">
        <v>23</v>
      </c>
      <c r="I100" s="98" t="s">
        <v>46</v>
      </c>
      <c r="J100" s="38" t="s">
        <v>98</v>
      </c>
      <c r="K100" s="99"/>
      <c r="L100" s="75"/>
      <c r="M100" s="255"/>
      <c r="N100" s="255"/>
      <c r="O100" s="255"/>
    </row>
    <row r="101" spans="1:15" ht="45" customHeight="1" x14ac:dyDescent="0.2">
      <c r="F101" s="328"/>
      <c r="G101" s="330"/>
      <c r="H101" s="40">
        <v>23.1</v>
      </c>
      <c r="I101" s="66" t="s">
        <v>12</v>
      </c>
      <c r="J101" s="67">
        <v>3</v>
      </c>
      <c r="K101" s="77"/>
      <c r="L101" s="33" t="str">
        <f>IF(AND(K101&gt;0,$K100&lt;&gt;$T$8),"!","")</f>
        <v/>
      </c>
      <c r="M101" s="255"/>
      <c r="N101" s="255"/>
      <c r="O101" s="255"/>
    </row>
    <row r="102" spans="1:15" ht="45" customHeight="1" x14ac:dyDescent="0.2">
      <c r="F102" s="328" t="s">
        <v>45</v>
      </c>
      <c r="G102" s="331" t="s">
        <v>130</v>
      </c>
      <c r="H102" s="40">
        <v>24</v>
      </c>
      <c r="I102" s="100" t="s">
        <v>36</v>
      </c>
      <c r="J102" s="67" t="s">
        <v>98</v>
      </c>
      <c r="K102" s="77"/>
      <c r="L102" s="75"/>
      <c r="M102" s="255"/>
      <c r="N102" s="255"/>
      <c r="O102" s="255"/>
    </row>
    <row r="103" spans="1:15" ht="45" customHeight="1" x14ac:dyDescent="0.2">
      <c r="F103" s="328"/>
      <c r="G103" s="329"/>
      <c r="H103" s="40">
        <v>24.1</v>
      </c>
      <c r="I103" s="100" t="s">
        <v>64</v>
      </c>
      <c r="J103" s="67">
        <v>1</v>
      </c>
      <c r="K103" s="77"/>
      <c r="L103" s="33" t="str">
        <f>IF(AND(K103&gt;0,$K$102&lt;&gt;$T$8),"!","")</f>
        <v/>
      </c>
      <c r="M103" s="255"/>
      <c r="N103" s="255"/>
      <c r="O103" s="255"/>
    </row>
    <row r="104" spans="1:15" ht="45" customHeight="1" x14ac:dyDescent="0.2">
      <c r="A104" s="189">
        <v>1</v>
      </c>
      <c r="B104" s="189">
        <f t="shared" ref="B104" si="7">IF(C104=TRUE,A104,0)</f>
        <v>0</v>
      </c>
      <c r="C104" s="189" t="b">
        <v>0</v>
      </c>
      <c r="F104" s="328"/>
      <c r="G104" s="330"/>
      <c r="H104" s="40">
        <v>24.2</v>
      </c>
      <c r="I104" s="100" t="s">
        <v>199</v>
      </c>
      <c r="J104" s="67">
        <f>IF(C104=FALSE,1,0)</f>
        <v>1</v>
      </c>
      <c r="K104" s="77"/>
      <c r="L104" s="33" t="str">
        <f>IF(AND(K104&gt;0,$K$102&lt;&gt;$T$8),"!","")</f>
        <v/>
      </c>
      <c r="M104" s="255"/>
      <c r="N104" s="255"/>
      <c r="O104" s="255"/>
    </row>
    <row r="105" spans="1:15" ht="45" customHeight="1" x14ac:dyDescent="0.2">
      <c r="F105" s="229" t="s">
        <v>128</v>
      </c>
      <c r="G105" s="230" t="s">
        <v>131</v>
      </c>
      <c r="H105" s="101">
        <v>25</v>
      </c>
      <c r="I105" s="102" t="s">
        <v>47</v>
      </c>
      <c r="J105" s="69">
        <v>1</v>
      </c>
      <c r="K105" s="103"/>
      <c r="L105" s="33"/>
      <c r="M105" s="255"/>
      <c r="N105" s="255"/>
      <c r="O105" s="255"/>
    </row>
    <row r="106" spans="1:15" ht="45" customHeight="1" x14ac:dyDescent="0.2">
      <c r="F106" s="47" t="s">
        <v>70</v>
      </c>
      <c r="G106" s="47"/>
      <c r="H106" s="48"/>
      <c r="I106" s="47"/>
      <c r="J106" s="48">
        <f>SUM(J100:J105)</f>
        <v>6</v>
      </c>
      <c r="K106" s="48">
        <f>SUM(K100:K105)</f>
        <v>0</v>
      </c>
      <c r="L106" s="33" t="str">
        <f>IF(K106&gt;J106,"!","")</f>
        <v/>
      </c>
      <c r="M106" s="257"/>
      <c r="N106" s="249"/>
      <c r="O106" s="249"/>
    </row>
    <row r="107" spans="1:15" ht="45" customHeight="1" x14ac:dyDescent="0.25">
      <c r="L107" s="80"/>
      <c r="M107" s="260"/>
    </row>
    <row r="108" spans="1:15" ht="45" customHeight="1" x14ac:dyDescent="0.2">
      <c r="F108" s="333" t="s">
        <v>6</v>
      </c>
      <c r="G108" s="333"/>
      <c r="H108" s="333"/>
      <c r="I108" s="333"/>
      <c r="J108" s="58">
        <f>5-SUM(B109:B114)</f>
        <v>5</v>
      </c>
      <c r="K108" s="58"/>
      <c r="L108" s="79"/>
      <c r="M108" s="254"/>
      <c r="N108" s="254"/>
      <c r="O108" s="254"/>
    </row>
    <row r="109" spans="1:15" ht="45" customHeight="1" x14ac:dyDescent="0.2">
      <c r="F109" s="327" t="s">
        <v>13</v>
      </c>
      <c r="G109" s="329" t="s">
        <v>133</v>
      </c>
      <c r="H109" s="97">
        <v>26.1</v>
      </c>
      <c r="I109" s="66" t="s">
        <v>295</v>
      </c>
      <c r="J109" s="38">
        <v>1</v>
      </c>
      <c r="K109" s="99"/>
      <c r="L109" s="75"/>
      <c r="M109" s="255"/>
      <c r="N109" s="255"/>
      <c r="O109" s="255"/>
    </row>
    <row r="110" spans="1:15" ht="45" customHeight="1" x14ac:dyDescent="0.2">
      <c r="F110" s="328"/>
      <c r="G110" s="330"/>
      <c r="H110" s="40">
        <v>26.2</v>
      </c>
      <c r="I110" s="100" t="s">
        <v>200</v>
      </c>
      <c r="J110" s="67">
        <v>1</v>
      </c>
      <c r="K110" s="77"/>
      <c r="L110" s="75"/>
      <c r="M110" s="255"/>
      <c r="N110" s="255"/>
      <c r="O110" s="255"/>
    </row>
    <row r="111" spans="1:15" ht="45" customHeight="1" x14ac:dyDescent="0.2">
      <c r="F111" s="328" t="s">
        <v>14</v>
      </c>
      <c r="G111" s="331" t="s">
        <v>134</v>
      </c>
      <c r="H111" s="40">
        <v>27</v>
      </c>
      <c r="I111" s="100" t="s">
        <v>201</v>
      </c>
      <c r="J111" s="67" t="s">
        <v>98</v>
      </c>
      <c r="K111" s="77"/>
      <c r="L111" s="75"/>
      <c r="M111" s="255"/>
      <c r="N111" s="255"/>
      <c r="O111" s="255"/>
    </row>
    <row r="112" spans="1:15" ht="45" customHeight="1" x14ac:dyDescent="0.2">
      <c r="F112" s="328"/>
      <c r="G112" s="330"/>
      <c r="H112" s="42">
        <v>27.1</v>
      </c>
      <c r="I112" s="100" t="s">
        <v>132</v>
      </c>
      <c r="J112" s="67">
        <v>1</v>
      </c>
      <c r="K112" s="77"/>
      <c r="L112" s="33" t="str">
        <f>IF(AND(K112&gt;0,$K111&lt;&gt;$T$8),"!","")</f>
        <v/>
      </c>
      <c r="M112" s="255"/>
      <c r="N112" s="255"/>
      <c r="O112" s="255"/>
    </row>
    <row r="113" spans="2:15" ht="45" customHeight="1" x14ac:dyDescent="0.2">
      <c r="F113" s="225" t="s">
        <v>48</v>
      </c>
      <c r="G113" s="226" t="s">
        <v>135</v>
      </c>
      <c r="H113" s="40">
        <v>28</v>
      </c>
      <c r="I113" s="68" t="s">
        <v>202</v>
      </c>
      <c r="J113" s="67">
        <v>1</v>
      </c>
      <c r="K113" s="77"/>
      <c r="L113" s="75"/>
      <c r="M113" s="255"/>
      <c r="N113" s="255"/>
      <c r="O113" s="255"/>
    </row>
    <row r="114" spans="2:15" ht="45" customHeight="1" x14ac:dyDescent="0.2">
      <c r="F114" s="104" t="s">
        <v>49</v>
      </c>
      <c r="G114" s="230" t="s">
        <v>136</v>
      </c>
      <c r="H114" s="101">
        <v>29</v>
      </c>
      <c r="I114" s="68" t="s">
        <v>183</v>
      </c>
      <c r="J114" s="69">
        <v>1</v>
      </c>
      <c r="K114" s="103"/>
      <c r="L114" s="75"/>
      <c r="M114" s="255"/>
      <c r="N114" s="255"/>
      <c r="O114" s="255"/>
    </row>
    <row r="115" spans="2:15" ht="45" customHeight="1" x14ac:dyDescent="0.2">
      <c r="F115" s="47" t="s">
        <v>70</v>
      </c>
      <c r="G115" s="47"/>
      <c r="H115" s="48"/>
      <c r="I115" s="47"/>
      <c r="J115" s="48">
        <f>SUM(J109:J114)</f>
        <v>5</v>
      </c>
      <c r="K115" s="48">
        <f>SUM(K109:K114)</f>
        <v>0</v>
      </c>
      <c r="L115" s="33" t="str">
        <f>IF(K115&gt;J115,"!","")</f>
        <v/>
      </c>
      <c r="M115" s="257"/>
      <c r="N115" s="249"/>
      <c r="O115" s="249"/>
    </row>
    <row r="116" spans="2:15" ht="45" customHeight="1" x14ac:dyDescent="0.2">
      <c r="F116" s="106"/>
      <c r="G116" s="106"/>
      <c r="H116" s="105"/>
      <c r="I116" s="106"/>
      <c r="J116" s="105"/>
      <c r="K116" s="105"/>
      <c r="L116" s="79"/>
      <c r="M116" s="258"/>
      <c r="N116" s="249"/>
      <c r="O116" s="249"/>
    </row>
    <row r="117" spans="2:15" ht="45" customHeight="1" x14ac:dyDescent="0.2">
      <c r="F117" s="333" t="s">
        <v>18</v>
      </c>
      <c r="G117" s="333"/>
      <c r="H117" s="333"/>
      <c r="I117" s="333"/>
      <c r="J117" s="58">
        <v>10</v>
      </c>
      <c r="K117" s="108"/>
      <c r="L117" s="79"/>
      <c r="M117" s="254"/>
      <c r="N117" s="254"/>
      <c r="O117" s="254"/>
    </row>
    <row r="118" spans="2:15" ht="45" customHeight="1" x14ac:dyDescent="0.2">
      <c r="F118" s="227" t="s">
        <v>137</v>
      </c>
      <c r="G118" s="112" t="s">
        <v>142</v>
      </c>
      <c r="H118" s="38" t="s">
        <v>264</v>
      </c>
      <c r="I118" s="232" t="s">
        <v>137</v>
      </c>
      <c r="J118" s="332">
        <v>10</v>
      </c>
      <c r="K118" s="99"/>
      <c r="L118" s="75"/>
      <c r="M118" s="255"/>
      <c r="N118" s="255"/>
      <c r="O118" s="255"/>
    </row>
    <row r="119" spans="2:15" ht="45" customHeight="1" x14ac:dyDescent="0.2">
      <c r="F119" s="225" t="s">
        <v>138</v>
      </c>
      <c r="G119" s="46" t="s">
        <v>143</v>
      </c>
      <c r="H119" s="67" t="s">
        <v>265</v>
      </c>
      <c r="I119" s="113" t="s">
        <v>138</v>
      </c>
      <c r="J119" s="332"/>
      <c r="K119" s="99"/>
      <c r="L119" s="75"/>
      <c r="M119" s="255"/>
      <c r="N119" s="255"/>
      <c r="O119" s="255"/>
    </row>
    <row r="120" spans="2:15" ht="45" customHeight="1" x14ac:dyDescent="0.2">
      <c r="F120" s="225" t="s">
        <v>139</v>
      </c>
      <c r="G120" s="46" t="s">
        <v>144</v>
      </c>
      <c r="H120" s="67" t="s">
        <v>266</v>
      </c>
      <c r="I120" s="113" t="s">
        <v>139</v>
      </c>
      <c r="J120" s="332"/>
      <c r="K120" s="99"/>
      <c r="L120" s="75"/>
      <c r="M120" s="255"/>
      <c r="N120" s="255"/>
      <c r="O120" s="255"/>
    </row>
    <row r="121" spans="2:15" ht="45" customHeight="1" x14ac:dyDescent="0.2">
      <c r="F121" s="225" t="s">
        <v>140</v>
      </c>
      <c r="G121" s="46" t="s">
        <v>145</v>
      </c>
      <c r="H121" s="67" t="s">
        <v>267</v>
      </c>
      <c r="I121" s="113" t="s">
        <v>140</v>
      </c>
      <c r="J121" s="332"/>
      <c r="K121" s="99"/>
      <c r="L121" s="75"/>
      <c r="M121" s="255"/>
      <c r="N121" s="255"/>
      <c r="O121" s="255"/>
    </row>
    <row r="122" spans="2:15" ht="45" customHeight="1" x14ac:dyDescent="0.2">
      <c r="F122" s="229" t="s">
        <v>141</v>
      </c>
      <c r="G122" s="114" t="s">
        <v>146</v>
      </c>
      <c r="H122" s="69" t="s">
        <v>268</v>
      </c>
      <c r="I122" s="231" t="s">
        <v>141</v>
      </c>
      <c r="J122" s="332"/>
      <c r="K122" s="99"/>
      <c r="L122" s="75"/>
      <c r="M122" s="255"/>
      <c r="N122" s="255"/>
      <c r="O122" s="255"/>
    </row>
    <row r="123" spans="2:15" ht="45" customHeight="1" x14ac:dyDescent="0.2">
      <c r="F123" s="47" t="s">
        <v>70</v>
      </c>
      <c r="G123" s="47"/>
      <c r="H123" s="48"/>
      <c r="I123" s="47"/>
      <c r="J123" s="48">
        <f>SUM(J118)</f>
        <v>10</v>
      </c>
      <c r="K123" s="48">
        <f>IF(SUM(K118:K122)&gt;10,10,SUM(K118:K122))</f>
        <v>0</v>
      </c>
      <c r="L123" s="33" t="str">
        <f>IF(K123&gt;J123,"!","")</f>
        <v/>
      </c>
      <c r="M123" s="257"/>
    </row>
    <row r="124" spans="2:15" ht="45" customHeight="1" x14ac:dyDescent="0.2">
      <c r="F124" s="70"/>
      <c r="G124" s="70"/>
      <c r="H124" s="6"/>
      <c r="I124" s="70"/>
      <c r="J124" s="6"/>
      <c r="K124" s="6"/>
      <c r="L124" s="9"/>
      <c r="M124" s="249"/>
    </row>
    <row r="125" spans="2:15" ht="45" customHeight="1" x14ac:dyDescent="0.2">
      <c r="B125" s="192" t="s">
        <v>214</v>
      </c>
      <c r="F125" s="143"/>
      <c r="G125" s="143"/>
      <c r="H125" s="144"/>
      <c r="I125" s="138" t="s">
        <v>207</v>
      </c>
      <c r="J125" s="14" t="s">
        <v>203</v>
      </c>
      <c r="K125" s="14" t="s">
        <v>204</v>
      </c>
      <c r="L125" s="157"/>
      <c r="M125" s="262"/>
      <c r="N125" s="263"/>
      <c r="O125" s="263"/>
    </row>
    <row r="126" spans="2:15" ht="45" customHeight="1" x14ac:dyDescent="0.2">
      <c r="B126" s="189">
        <f>SUM(B7:B114)</f>
        <v>0</v>
      </c>
      <c r="F126" s="22"/>
      <c r="G126" s="22"/>
      <c r="H126" s="23"/>
      <c r="I126" s="24" t="s">
        <v>215</v>
      </c>
      <c r="J126" s="147">
        <f>100-B126</f>
        <v>100</v>
      </c>
      <c r="K126" s="148">
        <f>Y15</f>
        <v>0</v>
      </c>
      <c r="L126" s="139"/>
      <c r="M126" s="264"/>
      <c r="N126" s="249"/>
      <c r="O126" s="249"/>
    </row>
    <row r="127" spans="2:15" ht="45" customHeight="1" x14ac:dyDescent="0.2">
      <c r="F127" s="22"/>
      <c r="G127" s="22"/>
      <c r="H127" s="158"/>
      <c r="I127" s="24" t="s">
        <v>220</v>
      </c>
      <c r="J127" s="145"/>
      <c r="K127" s="162">
        <f>K126/J126*100</f>
        <v>0</v>
      </c>
      <c r="L127" s="140"/>
      <c r="M127" s="265"/>
      <c r="N127" s="249"/>
      <c r="O127" s="249"/>
    </row>
    <row r="128" spans="2:15" ht="45" customHeight="1" x14ac:dyDescent="0.2">
      <c r="F128" s="22"/>
      <c r="G128" s="22"/>
      <c r="H128" s="23"/>
      <c r="I128" s="24" t="s">
        <v>208</v>
      </c>
      <c r="J128" s="147">
        <v>10</v>
      </c>
      <c r="K128" s="148">
        <f>K123</f>
        <v>0</v>
      </c>
      <c r="L128" s="141"/>
      <c r="M128" s="266"/>
      <c r="N128" s="249"/>
      <c r="O128" s="249"/>
    </row>
    <row r="129" spans="9:13" ht="45" customHeight="1" x14ac:dyDescent="0.2">
      <c r="I129" s="24" t="s">
        <v>216</v>
      </c>
      <c r="J129" s="146"/>
      <c r="K129" s="162">
        <f>K127+K128</f>
        <v>0</v>
      </c>
      <c r="L129" s="142"/>
      <c r="M129" s="267"/>
    </row>
    <row r="130" spans="9:13" x14ac:dyDescent="0.2">
      <c r="K130" s="116"/>
      <c r="L130" s="115"/>
      <c r="M130" s="268"/>
    </row>
    <row r="131" spans="9:13" x14ac:dyDescent="0.2">
      <c r="K131" s="116"/>
      <c r="L131" s="115"/>
      <c r="M131" s="268"/>
    </row>
    <row r="132" spans="9:13" x14ac:dyDescent="0.2">
      <c r="K132" s="116"/>
      <c r="L132" s="115"/>
      <c r="M132" s="268"/>
    </row>
    <row r="134" spans="9:13" hidden="1" x14ac:dyDescent="0.2"/>
    <row r="135" spans="9:13" hidden="1" x14ac:dyDescent="0.2"/>
    <row r="136" spans="9:13" hidden="1" x14ac:dyDescent="0.2"/>
    <row r="137" spans="9:13" hidden="1" x14ac:dyDescent="0.2"/>
    <row r="138" spans="9:13" hidden="1" x14ac:dyDescent="0.2"/>
    <row r="139" spans="9:13" hidden="1" x14ac:dyDescent="0.2"/>
  </sheetData>
  <sheetProtection password="E6B1" sheet="1" formatCells="0" formatColumns="0" formatRows="0" insertColumns="0" insertRows="0" insertHyperlinks="0" deleteColumns="0" deleteRows="0" sort="0" autoFilter="0" pivotTables="0"/>
  <mergeCells count="57">
    <mergeCell ref="F102:F104"/>
    <mergeCell ref="G102:G104"/>
    <mergeCell ref="J118:J122"/>
    <mergeCell ref="F108:I108"/>
    <mergeCell ref="F109:F110"/>
    <mergeCell ref="G109:G110"/>
    <mergeCell ref="F111:F112"/>
    <mergeCell ref="G111:G112"/>
    <mergeCell ref="F117:I117"/>
    <mergeCell ref="L88:L90"/>
    <mergeCell ref="F91:F93"/>
    <mergeCell ref="G91:G93"/>
    <mergeCell ref="F99:I99"/>
    <mergeCell ref="F100:F101"/>
    <mergeCell ref="G100:G101"/>
    <mergeCell ref="F95:F96"/>
    <mergeCell ref="G95:G96"/>
    <mergeCell ref="F86:F90"/>
    <mergeCell ref="G86:G90"/>
    <mergeCell ref="F63:F64"/>
    <mergeCell ref="G63:G64"/>
    <mergeCell ref="F68:F73"/>
    <mergeCell ref="G68:G73"/>
    <mergeCell ref="F77:F82"/>
    <mergeCell ref="G77:G82"/>
    <mergeCell ref="L47:L54"/>
    <mergeCell ref="F33:F36"/>
    <mergeCell ref="G33:G36"/>
    <mergeCell ref="F37:F39"/>
    <mergeCell ref="G37:G39"/>
    <mergeCell ref="F40:F41"/>
    <mergeCell ref="G40:G41"/>
    <mergeCell ref="F42:F43"/>
    <mergeCell ref="G42:G43"/>
    <mergeCell ref="F46:I46"/>
    <mergeCell ref="F47:F62"/>
    <mergeCell ref="G47:G62"/>
    <mergeCell ref="F30:F32"/>
    <mergeCell ref="G30:G32"/>
    <mergeCell ref="F16:F17"/>
    <mergeCell ref="G16:G17"/>
    <mergeCell ref="F18:F19"/>
    <mergeCell ref="G18:G19"/>
    <mergeCell ref="F20:F21"/>
    <mergeCell ref="G20:G21"/>
    <mergeCell ref="F22:F23"/>
    <mergeCell ref="G22:G23"/>
    <mergeCell ref="F26:I26"/>
    <mergeCell ref="F27:F29"/>
    <mergeCell ref="G27:G29"/>
    <mergeCell ref="F14:F15"/>
    <mergeCell ref="G14:G15"/>
    <mergeCell ref="F1:I1"/>
    <mergeCell ref="G2:H2"/>
    <mergeCell ref="G3:H3"/>
    <mergeCell ref="F8:F12"/>
    <mergeCell ref="G8:G12"/>
  </mergeCells>
  <conditionalFormatting sqref="H25:J25">
    <cfRule type="expression" dxfId="90" priority="51">
      <formula>#REF!=0</formula>
    </cfRule>
  </conditionalFormatting>
  <conditionalFormatting sqref="G65">
    <cfRule type="expression" dxfId="89" priority="50">
      <formula>$J$64=0</formula>
    </cfRule>
  </conditionalFormatting>
  <conditionalFormatting sqref="K21">
    <cfRule type="expression" dxfId="88" priority="49">
      <formula>$G$20=$I$21</formula>
    </cfRule>
  </conditionalFormatting>
  <conditionalFormatting sqref="H27:K27 K28:K43">
    <cfRule type="expression" dxfId="87" priority="22">
      <formula>$C27=TRUE</formula>
    </cfRule>
  </conditionalFormatting>
  <conditionalFormatting sqref="H28:J28">
    <cfRule type="expression" dxfId="86" priority="21">
      <formula>$C28=TRUE</formula>
    </cfRule>
  </conditionalFormatting>
  <conditionalFormatting sqref="H29:J32">
    <cfRule type="expression" dxfId="85" priority="20">
      <formula>$C29=TRUE</formula>
    </cfRule>
  </conditionalFormatting>
  <conditionalFormatting sqref="H34:J36">
    <cfRule type="expression" dxfId="84" priority="19">
      <formula>$C34=TRUE</formula>
    </cfRule>
  </conditionalFormatting>
  <conditionalFormatting sqref="H38:J43">
    <cfRule type="expression" dxfId="83" priority="18">
      <formula>$C38=TRUE</formula>
    </cfRule>
  </conditionalFormatting>
  <conditionalFormatting sqref="H70:K70">
    <cfRule type="expression" dxfId="82" priority="17">
      <formula>$C$70=TRUE</formula>
    </cfRule>
  </conditionalFormatting>
  <conditionalFormatting sqref="H71:K71">
    <cfRule type="expression" dxfId="81" priority="16">
      <formula>$C$71=TRUE</formula>
    </cfRule>
  </conditionalFormatting>
  <conditionalFormatting sqref="H81:K81">
    <cfRule type="expression" dxfId="80" priority="15">
      <formula>$C$81=TRUE</formula>
    </cfRule>
  </conditionalFormatting>
  <conditionalFormatting sqref="H82:K82">
    <cfRule type="expression" dxfId="79" priority="14">
      <formula>$C$82=TRUE</formula>
    </cfRule>
  </conditionalFormatting>
  <conditionalFormatting sqref="H104:K104">
    <cfRule type="expression" dxfId="78" priority="13">
      <formula>$C$104=TRUE</formula>
    </cfRule>
  </conditionalFormatting>
  <conditionalFormatting sqref="H90:K90">
    <cfRule type="expression" dxfId="77" priority="12">
      <formula>$C$90=TRUE</formula>
    </cfRule>
  </conditionalFormatting>
  <conditionalFormatting sqref="H91:K91">
    <cfRule type="expression" dxfId="76" priority="11">
      <formula>$C$91=TRUE</formula>
    </cfRule>
  </conditionalFormatting>
  <conditionalFormatting sqref="H92:K92">
    <cfRule type="expression" dxfId="75" priority="10">
      <formula>$C$92=TRUE</formula>
    </cfRule>
  </conditionalFormatting>
  <conditionalFormatting sqref="H93:K93">
    <cfRule type="expression" dxfId="74" priority="9">
      <formula>$C$93=TRUE</formula>
    </cfRule>
  </conditionalFormatting>
  <conditionalFormatting sqref="H68:J68">
    <cfRule type="expression" dxfId="73" priority="56">
      <formula>$G$68=$Q$68</formula>
    </cfRule>
  </conditionalFormatting>
  <conditionalFormatting sqref="K68">
    <cfRule type="expression" dxfId="72" priority="57">
      <formula>$G$68=$Q$68</formula>
    </cfRule>
  </conditionalFormatting>
  <conditionalFormatting sqref="H69:J73">
    <cfRule type="expression" dxfId="71" priority="58">
      <formula>$G$68=$Q$69</formula>
    </cfRule>
  </conditionalFormatting>
  <conditionalFormatting sqref="K69:K73">
    <cfRule type="expression" dxfId="70" priority="59">
      <formula>$G$68=$Q$69</formula>
    </cfRule>
  </conditionalFormatting>
  <conditionalFormatting sqref="H77:J77">
    <cfRule type="expression" dxfId="69" priority="60">
      <formula>$G$77=$Q$77</formula>
    </cfRule>
  </conditionalFormatting>
  <conditionalFormatting sqref="H78:J82">
    <cfRule type="expression" dxfId="68" priority="61">
      <formula>$G$77=$Q$78</formula>
    </cfRule>
  </conditionalFormatting>
  <conditionalFormatting sqref="K111">
    <cfRule type="expression" dxfId="67" priority="62">
      <formula>$G$47=$Q$50</formula>
    </cfRule>
  </conditionalFormatting>
  <conditionalFormatting sqref="K78:K82">
    <cfRule type="expression" dxfId="66" priority="63">
      <formula>$G$77=$Q$78</formula>
    </cfRule>
  </conditionalFormatting>
  <conditionalFormatting sqref="K77">
    <cfRule type="expression" dxfId="65" priority="64">
      <formula>$G$77=$Q$77</formula>
    </cfRule>
  </conditionalFormatting>
  <conditionalFormatting sqref="K109:K110 K112:K114 K118:K122">
    <cfRule type="expression" dxfId="64" priority="65">
      <formula>$G$85=$Q$86</formula>
    </cfRule>
  </conditionalFormatting>
  <conditionalFormatting sqref="H86:K87">
    <cfRule type="expression" dxfId="63" priority="68">
      <formula>$G$86=$Q$87</formula>
    </cfRule>
  </conditionalFormatting>
  <conditionalFormatting sqref="H88:K90">
    <cfRule type="expression" dxfId="62" priority="69">
      <formula>$G$86=$Q$86</formula>
    </cfRule>
  </conditionalFormatting>
  <conditionalFormatting sqref="H47:K54">
    <cfRule type="expression" dxfId="61" priority="70">
      <formula>$G$47&lt;&gt;$Q$47</formula>
    </cfRule>
  </conditionalFormatting>
  <conditionalFormatting sqref="H55:K56">
    <cfRule type="expression" dxfId="60" priority="71">
      <formula>$G$47&lt;&gt;$Q$48</formula>
    </cfRule>
  </conditionalFormatting>
  <conditionalFormatting sqref="H57:K58">
    <cfRule type="expression" dxfId="59" priority="72">
      <formula>$G$47&lt;&gt;$Q$49</formula>
    </cfRule>
  </conditionalFormatting>
  <conditionalFormatting sqref="H22:K22">
    <cfRule type="expression" dxfId="58" priority="73">
      <formula>$G$22=$Q$9</formula>
    </cfRule>
  </conditionalFormatting>
  <conditionalFormatting sqref="H23:K23">
    <cfRule type="expression" dxfId="57" priority="74">
      <formula>$G$22=$Q$8</formula>
    </cfRule>
  </conditionalFormatting>
  <conditionalFormatting sqref="H61:K62">
    <cfRule type="expression" dxfId="56" priority="75">
      <formula>$G$47&lt;&gt;$Q$51</formula>
    </cfRule>
  </conditionalFormatting>
  <conditionalFormatting sqref="H59:K60">
    <cfRule type="expression" dxfId="55" priority="76">
      <formula>$G$47&lt;&gt;$Q$50</formula>
    </cfRule>
  </conditionalFormatting>
  <conditionalFormatting sqref="H63:K63">
    <cfRule type="expression" dxfId="54" priority="77">
      <formula>$G$63=$Q$64</formula>
    </cfRule>
  </conditionalFormatting>
  <conditionalFormatting sqref="H64:K64">
    <cfRule type="expression" dxfId="53" priority="78">
      <formula>$G$63=$Q$63</formula>
    </cfRule>
  </conditionalFormatting>
  <conditionalFormatting sqref="H95:K95">
    <cfRule type="expression" dxfId="52" priority="79">
      <formula>$G$95=$Q$96</formula>
    </cfRule>
  </conditionalFormatting>
  <conditionalFormatting sqref="H96:K96">
    <cfRule type="expression" dxfId="51" priority="80">
      <formula>$G$95=$Q$95</formula>
    </cfRule>
  </conditionalFormatting>
  <dataValidations count="17">
    <dataValidation type="list" allowBlank="1" showInputMessage="1" showErrorMessage="1" promptTitle="Selection Required" prompt="Please indicate the project's desired pathway." sqref="G95:G96">
      <formula1>$Q$95:$Q$96</formula1>
    </dataValidation>
    <dataValidation type="decimal" operator="lessThanOrEqual" allowBlank="1" showInputMessage="1" showErrorMessage="1" sqref="K22:K23">
      <formula1>1</formula1>
    </dataValidation>
    <dataValidation type="list" allowBlank="1" showInputMessage="1" showErrorMessage="1" sqref="G66">
      <formula1>$Q$63:$Q$63</formula1>
    </dataValidation>
    <dataValidation type="list" allowBlank="1" showInputMessage="1" showErrorMessage="1" promptTitle="Selection Required" prompt="Please indicate the project's desired pathway." sqref="G63:G64">
      <formula1>$Q$63:$Q$64</formula1>
    </dataValidation>
    <dataValidation type="list" allowBlank="1" showInputMessage="1" showErrorMessage="1" promptTitle="Selection Required" prompt="Please indicate the project's desired pathway." sqref="G47:G62">
      <formula1>$Q$47:$Q$51</formula1>
    </dataValidation>
    <dataValidation type="list" allowBlank="1" showInputMessage="1" showErrorMessage="1" promptTitle="Selection Required" prompt="Please indicate the project's desired pathway." sqref="G22:G23">
      <formula1>$Q$8:$Q$9</formula1>
    </dataValidation>
    <dataValidation type="decimal" operator="lessThanOrEqual" allowBlank="1" showInputMessage="1" showErrorMessage="1" sqref="K118:K122">
      <formula1>10</formula1>
    </dataValidation>
    <dataValidation type="list" allowBlank="1" showInputMessage="1" showErrorMessage="1" promptTitle="Selection Required" prompt="Please indicate the project's desired pathway." sqref="G86:G90">
      <formula1>$Q$86:$Q$87</formula1>
    </dataValidation>
    <dataValidation type="list" allowBlank="1" showInputMessage="1" showErrorMessage="1" sqref="K57 K61 K55 K59 K100 K111 K47 K8 K102 K20 K18">
      <formula1>$T$7:$T$9</formula1>
    </dataValidation>
    <dataValidation type="list" allowBlank="1" showInputMessage="1" showErrorMessage="1" sqref="G84">
      <formula1>$N$77:$N$78</formula1>
    </dataValidation>
    <dataValidation type="list" allowBlank="1" showInputMessage="1" showErrorMessage="1" sqref="G25">
      <formula1>$N$23:$N$23</formula1>
    </dataValidation>
    <dataValidation type="decimal" allowBlank="1" showInputMessage="1" showErrorMessage="1" sqref="K9:K17 K19 K7 K21">
      <formula1>0</formula1>
      <formula2>J7</formula2>
    </dataValidation>
    <dataValidation type="list" allowBlank="1" showInputMessage="1" showErrorMessage="1" sqref="G75">
      <formula1>$Q$68:$Q$69</formula1>
    </dataValidation>
    <dataValidation type="list" allowBlank="1" showInputMessage="1" showErrorMessage="1" promptTitle="Selection Required" prompt="Please indicate the project's desired pathway." sqref="G68:G73">
      <formula1>$Q$68:$Q$69</formula1>
    </dataValidation>
    <dataValidation type="list" allowBlank="1" showInputMessage="1" showErrorMessage="1" promptTitle="Selection Required" prompt="Please indicate the project's desired pathway." sqref="G77:G82">
      <formula1>$Q$77:$Q$78</formula1>
    </dataValidation>
    <dataValidation type="decimal" operator="lessThanOrEqual" allowBlank="1" showInputMessage="1" showErrorMessage="1" sqref="K112:K114 K123 K103:K105 K62:K64 K38:K43 K68:K73 K77:K82 K109:K110 K101 K27:K32 K34:K36 K86:K96 K48:K54 K56 K58 K60">
      <formula1>J27</formula1>
    </dataValidation>
    <dataValidation type="list" operator="lessThanOrEqual" allowBlank="1" showInputMessage="1" showErrorMessage="1" sqref="K33 K37">
      <formula1>$T$7:$T$9</formula1>
    </dataValidation>
  </dataValidations>
  <pageMargins left="0.70866141732283472" right="0.70866141732283472" top="0.74803149606299213" bottom="0.74803149606299213" header="0.31496062992125984" footer="0.31496062992125984"/>
  <pageSetup paperSize="9" scale="55"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38100</xdr:colOff>
                    <xdr:row>27</xdr:row>
                    <xdr:rowOff>171450</xdr:rowOff>
                  </from>
                  <to>
                    <xdr:col>5</xdr:col>
                    <xdr:colOff>552450</xdr:colOff>
                    <xdr:row>27</xdr:row>
                    <xdr:rowOff>381000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38100</xdr:colOff>
                    <xdr:row>26</xdr:row>
                    <xdr:rowOff>180975</xdr:rowOff>
                  </from>
                  <to>
                    <xdr:col>5</xdr:col>
                    <xdr:colOff>552450</xdr:colOff>
                    <xdr:row>26</xdr:row>
                    <xdr:rowOff>390525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xdr:col>
                    <xdr:colOff>38100</xdr:colOff>
                    <xdr:row>28</xdr:row>
                    <xdr:rowOff>171450</xdr:rowOff>
                  </from>
                  <to>
                    <xdr:col>5</xdr:col>
                    <xdr:colOff>552450</xdr:colOff>
                    <xdr:row>28</xdr:row>
                    <xdr:rowOff>381000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4</xdr:col>
                    <xdr:colOff>38100</xdr:colOff>
                    <xdr:row>29</xdr:row>
                    <xdr:rowOff>171450</xdr:rowOff>
                  </from>
                  <to>
                    <xdr:col>5</xdr:col>
                    <xdr:colOff>552450</xdr:colOff>
                    <xdr:row>29</xdr:row>
                    <xdr:rowOff>381000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4</xdr:col>
                    <xdr:colOff>38100</xdr:colOff>
                    <xdr:row>30</xdr:row>
                    <xdr:rowOff>171450</xdr:rowOff>
                  </from>
                  <to>
                    <xdr:col>5</xdr:col>
                    <xdr:colOff>552450</xdr:colOff>
                    <xdr:row>30</xdr:row>
                    <xdr:rowOff>381000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38100</xdr:colOff>
                    <xdr:row>31</xdr:row>
                    <xdr:rowOff>171450</xdr:rowOff>
                  </from>
                  <to>
                    <xdr:col>5</xdr:col>
                    <xdr:colOff>552450</xdr:colOff>
                    <xdr:row>31</xdr:row>
                    <xdr:rowOff>381000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4</xdr:col>
                    <xdr:colOff>38100</xdr:colOff>
                    <xdr:row>33</xdr:row>
                    <xdr:rowOff>171450</xdr:rowOff>
                  </from>
                  <to>
                    <xdr:col>5</xdr:col>
                    <xdr:colOff>552450</xdr:colOff>
                    <xdr:row>33</xdr:row>
                    <xdr:rowOff>381000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4</xdr:col>
                    <xdr:colOff>38100</xdr:colOff>
                    <xdr:row>34</xdr:row>
                    <xdr:rowOff>171450</xdr:rowOff>
                  </from>
                  <to>
                    <xdr:col>5</xdr:col>
                    <xdr:colOff>552450</xdr:colOff>
                    <xdr:row>34</xdr:row>
                    <xdr:rowOff>381000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4</xdr:col>
                    <xdr:colOff>38100</xdr:colOff>
                    <xdr:row>35</xdr:row>
                    <xdr:rowOff>171450</xdr:rowOff>
                  </from>
                  <to>
                    <xdr:col>5</xdr:col>
                    <xdr:colOff>552450</xdr:colOff>
                    <xdr:row>35</xdr:row>
                    <xdr:rowOff>381000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4</xdr:col>
                    <xdr:colOff>38100</xdr:colOff>
                    <xdr:row>37</xdr:row>
                    <xdr:rowOff>171450</xdr:rowOff>
                  </from>
                  <to>
                    <xdr:col>5</xdr:col>
                    <xdr:colOff>552450</xdr:colOff>
                    <xdr:row>37</xdr:row>
                    <xdr:rowOff>381000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4</xdr:col>
                    <xdr:colOff>38100</xdr:colOff>
                    <xdr:row>38</xdr:row>
                    <xdr:rowOff>171450</xdr:rowOff>
                  </from>
                  <to>
                    <xdr:col>5</xdr:col>
                    <xdr:colOff>552450</xdr:colOff>
                    <xdr:row>38</xdr:row>
                    <xdr:rowOff>381000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4</xdr:col>
                    <xdr:colOff>38100</xdr:colOff>
                    <xdr:row>39</xdr:row>
                    <xdr:rowOff>171450</xdr:rowOff>
                  </from>
                  <to>
                    <xdr:col>5</xdr:col>
                    <xdr:colOff>552450</xdr:colOff>
                    <xdr:row>39</xdr:row>
                    <xdr:rowOff>381000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4</xdr:col>
                    <xdr:colOff>38100</xdr:colOff>
                    <xdr:row>40</xdr:row>
                    <xdr:rowOff>171450</xdr:rowOff>
                  </from>
                  <to>
                    <xdr:col>5</xdr:col>
                    <xdr:colOff>552450</xdr:colOff>
                    <xdr:row>40</xdr:row>
                    <xdr:rowOff>381000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4</xdr:col>
                    <xdr:colOff>38100</xdr:colOff>
                    <xdr:row>41</xdr:row>
                    <xdr:rowOff>171450</xdr:rowOff>
                  </from>
                  <to>
                    <xdr:col>5</xdr:col>
                    <xdr:colOff>552450</xdr:colOff>
                    <xdr:row>41</xdr:row>
                    <xdr:rowOff>381000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4</xdr:col>
                    <xdr:colOff>38100</xdr:colOff>
                    <xdr:row>42</xdr:row>
                    <xdr:rowOff>171450</xdr:rowOff>
                  </from>
                  <to>
                    <xdr:col>5</xdr:col>
                    <xdr:colOff>552450</xdr:colOff>
                    <xdr:row>42</xdr:row>
                    <xdr:rowOff>381000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4</xdr:col>
                    <xdr:colOff>38100</xdr:colOff>
                    <xdr:row>69</xdr:row>
                    <xdr:rowOff>171450</xdr:rowOff>
                  </from>
                  <to>
                    <xdr:col>5</xdr:col>
                    <xdr:colOff>552450</xdr:colOff>
                    <xdr:row>69</xdr:row>
                    <xdr:rowOff>381000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4</xdr:col>
                    <xdr:colOff>38100</xdr:colOff>
                    <xdr:row>70</xdr:row>
                    <xdr:rowOff>171450</xdr:rowOff>
                  </from>
                  <to>
                    <xdr:col>5</xdr:col>
                    <xdr:colOff>552450</xdr:colOff>
                    <xdr:row>70</xdr:row>
                    <xdr:rowOff>381000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4</xdr:col>
                    <xdr:colOff>38100</xdr:colOff>
                    <xdr:row>80</xdr:row>
                    <xdr:rowOff>171450</xdr:rowOff>
                  </from>
                  <to>
                    <xdr:col>5</xdr:col>
                    <xdr:colOff>552450</xdr:colOff>
                    <xdr:row>80</xdr:row>
                    <xdr:rowOff>381000</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4</xdr:col>
                    <xdr:colOff>38100</xdr:colOff>
                    <xdr:row>81</xdr:row>
                    <xdr:rowOff>171450</xdr:rowOff>
                  </from>
                  <to>
                    <xdr:col>5</xdr:col>
                    <xdr:colOff>552450</xdr:colOff>
                    <xdr:row>81</xdr:row>
                    <xdr:rowOff>381000</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4</xdr:col>
                    <xdr:colOff>38100</xdr:colOff>
                    <xdr:row>103</xdr:row>
                    <xdr:rowOff>171450</xdr:rowOff>
                  </from>
                  <to>
                    <xdr:col>5</xdr:col>
                    <xdr:colOff>552450</xdr:colOff>
                    <xdr:row>103</xdr:row>
                    <xdr:rowOff>381000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4</xdr:col>
                    <xdr:colOff>38100</xdr:colOff>
                    <xdr:row>90</xdr:row>
                    <xdr:rowOff>171450</xdr:rowOff>
                  </from>
                  <to>
                    <xdr:col>5</xdr:col>
                    <xdr:colOff>552450</xdr:colOff>
                    <xdr:row>90</xdr:row>
                    <xdr:rowOff>381000</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4</xdr:col>
                    <xdr:colOff>38100</xdr:colOff>
                    <xdr:row>91</xdr:row>
                    <xdr:rowOff>171450</xdr:rowOff>
                  </from>
                  <to>
                    <xdr:col>5</xdr:col>
                    <xdr:colOff>552450</xdr:colOff>
                    <xdr:row>91</xdr:row>
                    <xdr:rowOff>381000</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4</xdr:col>
                    <xdr:colOff>38100</xdr:colOff>
                    <xdr:row>92</xdr:row>
                    <xdr:rowOff>171450</xdr:rowOff>
                  </from>
                  <to>
                    <xdr:col>5</xdr:col>
                    <xdr:colOff>552450</xdr:colOff>
                    <xdr:row>92</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Disclaimer</vt:lpstr>
      <vt:lpstr>Change Log</vt:lpstr>
      <vt:lpstr>Instructions</vt:lpstr>
      <vt:lpstr>Building Input Sheet</vt:lpstr>
      <vt:lpstr>Design Review Scorecard</vt:lpstr>
      <vt:lpstr>As Built Scorecard</vt:lpstr>
      <vt:lpstr>Submission Planner</vt:lpstr>
      <vt:lpstr>'As Built Scorecard'!Print_Area</vt:lpstr>
      <vt:lpstr>'Building Input Sheet'!Print_Area</vt:lpstr>
      <vt:lpstr>'Change Log'!Print_Area</vt:lpstr>
      <vt:lpstr>'Design Review Scorecard'!Print_Area</vt:lpstr>
      <vt:lpstr>Instructions!Print_Area</vt:lpstr>
      <vt:lpstr>'Submission Planner'!Print_Area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rmilagre</dc:creator>
  <cp:lastModifiedBy>Karl Desai</cp:lastModifiedBy>
  <cp:lastPrinted>2014-10-15T23:55:14Z</cp:lastPrinted>
  <dcterms:created xsi:type="dcterms:W3CDTF">2013-06-25T01:42:25Z</dcterms:created>
  <dcterms:modified xsi:type="dcterms:W3CDTF">2016-02-15T04:29:27Z</dcterms:modified>
</cp:coreProperties>
</file>