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6B1" lockStructure="1"/>
  <bookViews>
    <workbookView xWindow="240" yWindow="0" windowWidth="28545" windowHeight="14445" tabRatio="768"/>
  </bookViews>
  <sheets>
    <sheet name="Disclaimer" sheetId="9" r:id="rId1"/>
    <sheet name="Change Log" sheetId="11" r:id="rId2"/>
    <sheet name="15A Prescriptive Path" sheetId="3" r:id="rId3"/>
    <sheet name="15B NatHERS Path" sheetId="1" r:id="rId4"/>
    <sheet name="15C BASIX Path" sheetId="12" r:id="rId5"/>
    <sheet name="15D NABERS Energy Path" sheetId="2" r:id="rId6"/>
    <sheet name="15E Modelled Path" sheetId="5" r:id="rId7"/>
    <sheet name="Multiple Path Calcs" sheetId="4" r:id="rId8"/>
    <sheet name="Synthetic GHG" sheetId="7" state="hidden" r:id="rId9"/>
    <sheet name="Reference" sheetId="6" state="hidden" r:id="rId10"/>
  </sheets>
  <externalReferences>
    <externalReference r:id="rId11"/>
    <externalReference r:id="rId12"/>
  </externalReferences>
  <definedNames>
    <definedName name="ACStarRating" localSheetId="4">[1]Reference!$Y$3:$Y$19</definedName>
    <definedName name="ACStarRating" localSheetId="1">[2]Reference!$Y$3:$Y$19</definedName>
    <definedName name="ACStarRating">Reference!$Y$3:$Y$19</definedName>
    <definedName name="BASIXDwellingType">Reference!$D$99:$G$99</definedName>
    <definedName name="BASIXEnergyZone">[1]Reference!$B$100:$B$102</definedName>
    <definedName name="BASIXZone">[1]Reference!$B$76:$B$96</definedName>
    <definedName name="BldgCapacity" localSheetId="4">[1]Reference!$Z$23:$Z$24</definedName>
    <definedName name="BldgCapacity" localSheetId="1">[2]Reference!$Z$23:$Z$24</definedName>
    <definedName name="BldgCapacity">Reference!$Z$23:$Z$24</definedName>
    <definedName name="ComfortControl" localSheetId="4">[1]Reference!$Z$6:$Z$8</definedName>
    <definedName name="ComfortControl" localSheetId="1">[2]Reference!$Z$6:$Z$8</definedName>
    <definedName name="ComfortControl">Reference!$Z$6:$Z$8</definedName>
    <definedName name="ContractTerm" localSheetId="4">[1]Reference!$Z$13:$Z$22</definedName>
    <definedName name="ContractTerm" localSheetId="1">[2]Reference!$Z$13:$Z$22</definedName>
    <definedName name="ContractTerm">Reference!$Z$13:$Z$22</definedName>
    <definedName name="DHWFuel" localSheetId="4">[1]Reference!$Z$9:$Z$12</definedName>
    <definedName name="DHWFuel" localSheetId="1">[2]Reference!$Z$9:$Z$12</definedName>
    <definedName name="DHWFuel">Reference!$Z$9:$Z$12</definedName>
    <definedName name="Fuels" localSheetId="4">'[1]15.D Modelled Path'!$B$15:$B$25</definedName>
    <definedName name="Fuels" localSheetId="1">'[2]15.D Modelled Path'!$B$15:$B$25</definedName>
    <definedName name="Fuels">'15E Modelled Path'!$B$15:$B$25</definedName>
    <definedName name="GeoGHGFactor" localSheetId="4">[1]Reference!$AB$3:$AD$10</definedName>
    <definedName name="GeoGHGFactor" localSheetId="1">[2]Reference!$AB$3:$AD$10</definedName>
    <definedName name="GeoGHGFactor">Reference!$AB$3:$AD$10</definedName>
    <definedName name="GeoLocation" localSheetId="4">[1]Reference!$AB$3:$AB$10</definedName>
    <definedName name="GeoLocation" localSheetId="1">[2]Reference!$AB$3:$AB$10</definedName>
    <definedName name="GeoLocation">Reference!$AB$3:$AB$10</definedName>
    <definedName name="HeatingCooling">Reference!$Z$27:$Z$29</definedName>
    <definedName name="NatHERSStar" localSheetId="4">[1]Reference!$X$3:$X$22</definedName>
    <definedName name="NatHERSStar" localSheetId="1">[2]Reference!$X$3:$X$22</definedName>
    <definedName name="NatHERSStar">Reference!$X$3:$X$22</definedName>
    <definedName name="NatHERSZone" localSheetId="4">[1]Reference!$B$4:$B$72</definedName>
    <definedName name="NatHERSZone" localSheetId="1">[2]Reference!$B$4:$B$72</definedName>
    <definedName name="NatHERSZone">Reference!$B$4:$B$72</definedName>
    <definedName name="NSW">'[1]15.B NatHERS Path'!$D$11</definedName>
    <definedName name="Option" localSheetId="4">[1]Reference!$Z$3:$Z$4</definedName>
    <definedName name="Option" localSheetId="1">[2]Reference!$Z$3:$Z$4</definedName>
    <definedName name="Option">Reference!$Z$3:$Z$4</definedName>
    <definedName name="OptionNA" localSheetId="4">[1]Reference!$Z$3:$Z$5</definedName>
    <definedName name="OptionNA" localSheetId="1">[2]Reference!$Z$3:$Z$5</definedName>
    <definedName name="OptionNA">Reference!$Z$3:$Z$5</definedName>
    <definedName name="OptNA">Reference!$Z$5</definedName>
    <definedName name="_xlnm.Print_Area" localSheetId="5">'15D NABERS Energy Path'!$A$4:$P$37</definedName>
    <definedName name="SynthGHGRate" localSheetId="4">[1]Reference!$AE$3:$AF$6</definedName>
    <definedName name="SynthGHGRate" localSheetId="1">[2]Reference!$AE$3:$AF$6</definedName>
    <definedName name="SynthGHGRate">Reference!$AE$3:$AF$6</definedName>
    <definedName name="SynthGHGSource" localSheetId="4">[1]Reference!$AE$3:$AE$6</definedName>
    <definedName name="SynthGHGSource" localSheetId="1">[2]Reference!$AE$3:$AE$6</definedName>
    <definedName name="SynthGHGSource">Reference!$AE$3:$AE$6</definedName>
  </definedNames>
  <calcPr calcId="145621"/>
</workbook>
</file>

<file path=xl/calcChain.xml><?xml version="1.0" encoding="utf-8"?>
<calcChain xmlns="http://schemas.openxmlformats.org/spreadsheetml/2006/main">
  <c r="D17" i="12" l="1"/>
  <c r="D41" i="1" l="1"/>
  <c r="D40" i="3" l="1"/>
  <c r="P49" i="1" l="1"/>
  <c r="N49" i="1" s="1"/>
  <c r="N45" i="1"/>
  <c r="O42" i="1"/>
  <c r="N42" i="1" s="1"/>
  <c r="O45" i="1"/>
  <c r="D47" i="1"/>
  <c r="D44" i="1"/>
  <c r="H48" i="1" l="1"/>
  <c r="F48" i="1" s="1"/>
  <c r="D41" i="3"/>
  <c r="H17" i="4" l="1"/>
  <c r="G17" i="4"/>
  <c r="D42" i="2"/>
  <c r="D45" i="2"/>
  <c r="I16" i="4"/>
  <c r="H16" i="4"/>
  <c r="G16" i="4"/>
  <c r="D16" i="4"/>
  <c r="W22" i="12"/>
  <c r="D42" i="3"/>
  <c r="L36" i="1"/>
  <c r="L61" i="1"/>
  <c r="L51" i="1"/>
  <c r="L54" i="1"/>
  <c r="L56" i="1"/>
  <c r="D70" i="1"/>
  <c r="F62" i="1"/>
  <c r="D71" i="1"/>
  <c r="D18" i="12"/>
  <c r="D19" i="12" s="1"/>
  <c r="D35" i="12"/>
  <c r="D38" i="12"/>
  <c r="J38" i="5"/>
  <c r="K86" i="5"/>
  <c r="D17" i="2"/>
  <c r="G14" i="4"/>
  <c r="D39" i="3"/>
  <c r="D37" i="3"/>
  <c r="C19" i="4"/>
  <c r="F37" i="1"/>
  <c r="F38" i="1"/>
  <c r="F39" i="1"/>
  <c r="F52" i="1"/>
  <c r="F53" i="1"/>
  <c r="F57" i="1"/>
  <c r="F58" i="1"/>
  <c r="F59" i="1"/>
  <c r="F60" i="1"/>
  <c r="F55" i="1"/>
  <c r="D69" i="1"/>
  <c r="E45" i="5"/>
  <c r="C15" i="5"/>
  <c r="E47" i="5"/>
  <c r="E49" i="5"/>
  <c r="E37" i="5"/>
  <c r="E38" i="5"/>
  <c r="E79" i="5"/>
  <c r="E39" i="5"/>
  <c r="E42" i="5"/>
  <c r="J73" i="5"/>
  <c r="J74" i="5"/>
  <c r="J75" i="5"/>
  <c r="J76" i="5"/>
  <c r="J77" i="5"/>
  <c r="J78" i="5"/>
  <c r="J79" i="5"/>
  <c r="J80" i="5"/>
  <c r="J81" i="5"/>
  <c r="D58" i="5"/>
  <c r="C91" i="5"/>
  <c r="F46" i="5"/>
  <c r="F47" i="5"/>
  <c r="F48" i="5"/>
  <c r="F49" i="5"/>
  <c r="F45" i="5"/>
  <c r="F50" i="5"/>
  <c r="F51" i="5"/>
  <c r="F52" i="5"/>
  <c r="F53" i="5"/>
  <c r="G53" i="5"/>
  <c r="F54" i="5"/>
  <c r="F55" i="5"/>
  <c r="G55" i="5"/>
  <c r="F56" i="5"/>
  <c r="G56" i="5"/>
  <c r="F57" i="5"/>
  <c r="I71" i="5"/>
  <c r="I72" i="5"/>
  <c r="C16" i="5"/>
  <c r="P32" i="5"/>
  <c r="C24" i="5"/>
  <c r="I73" i="5"/>
  <c r="I74" i="5"/>
  <c r="I75" i="5"/>
  <c r="I76" i="5"/>
  <c r="I77" i="5"/>
  <c r="I78" i="5"/>
  <c r="I79" i="5"/>
  <c r="P31" i="5"/>
  <c r="I80" i="5"/>
  <c r="I81" i="5"/>
  <c r="J45" i="5"/>
  <c r="J46" i="5"/>
  <c r="J47" i="5"/>
  <c r="J48" i="5"/>
  <c r="J49" i="5"/>
  <c r="J50" i="5"/>
  <c r="J37" i="5"/>
  <c r="J39" i="5"/>
  <c r="J40" i="5"/>
  <c r="J41" i="5"/>
  <c r="J42" i="5"/>
  <c r="J43" i="5"/>
  <c r="D18" i="4"/>
  <c r="O67" i="1"/>
  <c r="H49" i="1"/>
  <c r="F49" i="1" s="1"/>
  <c r="H50" i="1"/>
  <c r="F50" i="1" s="1"/>
  <c r="G42" i="1"/>
  <c r="F42" i="1" s="1"/>
  <c r="F19" i="1"/>
  <c r="K40" i="1" s="1"/>
  <c r="G43" i="1"/>
  <c r="F43" i="1"/>
  <c r="D80" i="5"/>
  <c r="E80" i="5"/>
  <c r="F80" i="5"/>
  <c r="G80" i="5"/>
  <c r="K52" i="5"/>
  <c r="J51" i="5"/>
  <c r="J52" i="5"/>
  <c r="J53" i="5"/>
  <c r="J54" i="5"/>
  <c r="J55" i="5"/>
  <c r="J56" i="5"/>
  <c r="J57" i="5"/>
  <c r="G52" i="5"/>
  <c r="E52" i="5"/>
  <c r="E53" i="5"/>
  <c r="E54" i="5"/>
  <c r="E55" i="5"/>
  <c r="E56" i="5"/>
  <c r="E57" i="5"/>
  <c r="K51" i="5"/>
  <c r="G15" i="4"/>
  <c r="C117" i="5"/>
  <c r="D81" i="1"/>
  <c r="D84" i="1"/>
  <c r="H15" i="4"/>
  <c r="I15" i="4" s="1"/>
  <c r="D52" i="3"/>
  <c r="D55" i="3"/>
  <c r="H14" i="4"/>
  <c r="I14" i="4" s="1"/>
  <c r="G54" i="5"/>
  <c r="G57" i="5"/>
  <c r="I58" i="5"/>
  <c r="C116" i="5"/>
  <c r="D14" i="4"/>
  <c r="D38" i="3"/>
  <c r="D36" i="3"/>
  <c r="C21" i="5"/>
  <c r="C20" i="5"/>
  <c r="C19" i="5"/>
  <c r="C18" i="5"/>
  <c r="C17" i="5"/>
  <c r="AD10" i="6"/>
  <c r="AD9" i="6"/>
  <c r="C23" i="5"/>
  <c r="AD8" i="6"/>
  <c r="AD7" i="6"/>
  <c r="AD6" i="6"/>
  <c r="AD5" i="6"/>
  <c r="AD4" i="6"/>
  <c r="AD3" i="6"/>
  <c r="E5" i="7"/>
  <c r="F5" i="7"/>
  <c r="E6" i="7"/>
  <c r="F6" i="7"/>
  <c r="E7" i="7"/>
  <c r="F7" i="7"/>
  <c r="E8" i="7"/>
  <c r="F8" i="7"/>
  <c r="E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E42" i="7"/>
  <c r="F42" i="7"/>
  <c r="E43" i="7"/>
  <c r="F43" i="7"/>
  <c r="E44" i="7"/>
  <c r="F44" i="7"/>
  <c r="E45" i="7"/>
  <c r="F45" i="7"/>
  <c r="E46" i="7"/>
  <c r="F46" i="7"/>
  <c r="E47" i="7"/>
  <c r="F47" i="7"/>
  <c r="E48" i="7"/>
  <c r="F48" i="7"/>
  <c r="E49" i="7"/>
  <c r="F49" i="7"/>
  <c r="E50" i="7"/>
  <c r="F50" i="7"/>
  <c r="E51" i="7"/>
  <c r="F51" i="7"/>
  <c r="E52" i="7"/>
  <c r="F52" i="7"/>
  <c r="E4" i="7"/>
  <c r="F4" i="7"/>
  <c r="F9" i="7"/>
  <c r="F41" i="7"/>
  <c r="E51" i="5"/>
  <c r="K57" i="5"/>
  <c r="K56" i="5"/>
  <c r="K55" i="5"/>
  <c r="K54" i="5"/>
  <c r="K53" i="5"/>
  <c r="K50" i="5"/>
  <c r="K49" i="5"/>
  <c r="K48" i="5"/>
  <c r="K47" i="5"/>
  <c r="K46" i="5"/>
  <c r="K45" i="5"/>
  <c r="K41" i="5"/>
  <c r="K42" i="5"/>
  <c r="K43" i="5"/>
  <c r="K40" i="5"/>
  <c r="K39" i="5"/>
  <c r="K38" i="5"/>
  <c r="K37" i="5"/>
  <c r="K36" i="5"/>
  <c r="O94" i="5"/>
  <c r="P104" i="5"/>
  <c r="O104" i="5"/>
  <c r="D17" i="4"/>
  <c r="G47" i="5"/>
  <c r="G45" i="5"/>
  <c r="G37" i="5"/>
  <c r="G38" i="5"/>
  <c r="G39" i="5"/>
  <c r="G42" i="5"/>
  <c r="G72" i="5"/>
  <c r="F71" i="5"/>
  <c r="F72" i="5"/>
  <c r="F73" i="5"/>
  <c r="G73" i="5"/>
  <c r="F74" i="5"/>
  <c r="F75" i="5"/>
  <c r="G75" i="5"/>
  <c r="F76" i="5"/>
  <c r="G76" i="5"/>
  <c r="F77" i="5"/>
  <c r="G77" i="5"/>
  <c r="F78" i="5"/>
  <c r="G78" i="5"/>
  <c r="F79" i="5"/>
  <c r="G79" i="5"/>
  <c r="F81" i="5"/>
  <c r="I83" i="5"/>
  <c r="J67" i="5"/>
  <c r="E73" i="5"/>
  <c r="E75" i="5"/>
  <c r="E76" i="5"/>
  <c r="E77" i="5"/>
  <c r="E78" i="5"/>
  <c r="D72" i="5"/>
  <c r="D73" i="5"/>
  <c r="D74" i="5"/>
  <c r="D75" i="5"/>
  <c r="D76" i="5"/>
  <c r="D77" i="5"/>
  <c r="D78" i="5"/>
  <c r="D79" i="5"/>
  <c r="D81" i="5"/>
  <c r="D71" i="5"/>
  <c r="D28" i="1"/>
  <c r="J64" i="5"/>
  <c r="E72" i="5"/>
  <c r="D15" i="4"/>
  <c r="D25" i="1"/>
  <c r="D27" i="1" s="1"/>
  <c r="D31" i="1" s="1"/>
  <c r="D24" i="1"/>
  <c r="D26" i="1" s="1"/>
  <c r="D30" i="1" s="1"/>
  <c r="D28" i="2"/>
  <c r="I17" i="4"/>
  <c r="D18" i="2"/>
  <c r="G74" i="5"/>
  <c r="E74" i="5"/>
  <c r="P117" i="5"/>
  <c r="Q117" i="5"/>
  <c r="G18" i="4"/>
  <c r="O116" i="5"/>
  <c r="D32" i="2"/>
  <c r="D67" i="1"/>
  <c r="D68" i="1"/>
  <c r="F53" i="7"/>
  <c r="C118" i="5"/>
  <c r="H18" i="4"/>
  <c r="I18" i="4"/>
  <c r="G31" i="2"/>
  <c r="F31" i="2"/>
  <c r="D31" i="2"/>
  <c r="E17" i="4"/>
  <c r="F17" i="4"/>
  <c r="F58" i="5"/>
  <c r="C92" i="5"/>
  <c r="C93" i="5"/>
  <c r="C94" i="5"/>
  <c r="K74" i="5"/>
  <c r="K75" i="5"/>
  <c r="J36" i="5"/>
  <c r="J72" i="5"/>
  <c r="K77" i="5"/>
  <c r="K73" i="5"/>
  <c r="G36" i="5"/>
  <c r="K76" i="5"/>
  <c r="J65" i="5"/>
  <c r="E36" i="5"/>
  <c r="E81" i="5"/>
  <c r="K72" i="5"/>
  <c r="K79" i="5"/>
  <c r="I82" i="5"/>
  <c r="G43" i="5"/>
  <c r="G46" i="5"/>
  <c r="G50" i="5"/>
  <c r="G51" i="5"/>
  <c r="K80" i="5"/>
  <c r="E43" i="5"/>
  <c r="E50" i="5"/>
  <c r="E46" i="5"/>
  <c r="G41" i="5"/>
  <c r="G48" i="5"/>
  <c r="P33" i="5"/>
  <c r="K71" i="5"/>
  <c r="J62" i="5"/>
  <c r="E41" i="5"/>
  <c r="E48" i="5"/>
  <c r="G40" i="5"/>
  <c r="G49" i="5"/>
  <c r="P30" i="5"/>
  <c r="J61" i="5"/>
  <c r="J71" i="5"/>
  <c r="E40" i="5"/>
  <c r="J82" i="5"/>
  <c r="C99" i="5"/>
  <c r="J58" i="5"/>
  <c r="G71" i="5"/>
  <c r="G81" i="5"/>
  <c r="E71" i="5"/>
  <c r="J83" i="5"/>
  <c r="E58" i="5"/>
  <c r="C97" i="5"/>
  <c r="G58" i="5"/>
  <c r="C25" i="5"/>
  <c r="K81" i="5"/>
  <c r="K78" i="5"/>
  <c r="C22" i="5"/>
  <c r="C101" i="5"/>
  <c r="C106" i="5"/>
  <c r="C107" i="5"/>
  <c r="K82" i="5"/>
  <c r="C98" i="5"/>
  <c r="C103" i="5"/>
  <c r="C102" i="5"/>
  <c r="C104" i="5"/>
  <c r="C109" i="5"/>
  <c r="E18" i="4"/>
  <c r="F18" i="4"/>
  <c r="W18" i="12" l="1"/>
  <c r="D33" i="1"/>
  <c r="D65" i="1" s="1"/>
  <c r="D43" i="3"/>
  <c r="E14" i="4" s="1"/>
  <c r="F14" i="4" s="1"/>
  <c r="H45" i="1"/>
  <c r="G46" i="1"/>
  <c r="H46" i="1"/>
  <c r="D66" i="1"/>
  <c r="D72" i="1" s="1"/>
  <c r="G45" i="1"/>
  <c r="I19" i="4"/>
  <c r="W26" i="12" l="1"/>
  <c r="D26" i="12" s="1"/>
  <c r="E16" i="4" s="1"/>
  <c r="F16" i="4" s="1"/>
  <c r="E15" i="4"/>
  <c r="F15" i="4" s="1"/>
  <c r="F45" i="1"/>
  <c r="F46" i="1"/>
  <c r="F19" i="4" l="1"/>
  <c r="F66" i="1"/>
</calcChain>
</file>

<file path=xl/comments1.xml><?xml version="1.0" encoding="utf-8"?>
<comments xmlns="http://schemas.openxmlformats.org/spreadsheetml/2006/main">
  <authors>
    <author>richardj</author>
  </authors>
  <commentList>
    <comment ref="F55" authorId="0">
      <text>
        <r>
          <rPr>
            <b/>
            <sz val="9"/>
            <color indexed="81"/>
            <rFont val="Tahoma"/>
            <family val="2"/>
          </rPr>
          <t>richardj:</t>
        </r>
        <r>
          <rPr>
            <sz val="9"/>
            <color indexed="81"/>
            <rFont val="Tahoma"/>
            <family val="2"/>
          </rPr>
          <t xml:space="preserve">
Minimum peak demand reduction threshold</t>
        </r>
      </text>
    </comment>
  </commentList>
</comments>
</file>

<file path=xl/comments2.xml><?xml version="1.0" encoding="utf-8"?>
<comments xmlns="http://schemas.openxmlformats.org/spreadsheetml/2006/main">
  <authors>
    <author>Zofia Kuypers</author>
    <author>richardj</author>
  </authors>
  <commentList>
    <comment ref="N40" authorId="0">
      <text>
        <r>
          <rPr>
            <b/>
            <sz val="11"/>
            <color indexed="81"/>
            <rFont val="Tahoma"/>
            <family val="2"/>
          </rPr>
          <t>Zofia Kuypers:</t>
        </r>
        <r>
          <rPr>
            <sz val="11"/>
            <color indexed="81"/>
            <rFont val="Tahoma"/>
            <family val="2"/>
          </rPr>
          <t xml:space="preserve">
Number of available points</t>
        </r>
      </text>
    </comment>
    <comment ref="O40" authorId="0">
      <text>
        <r>
          <rPr>
            <b/>
            <sz val="11"/>
            <color indexed="81"/>
            <rFont val="Tahoma"/>
            <family val="2"/>
          </rPr>
          <t>Zofia Kuypers:</t>
        </r>
        <r>
          <rPr>
            <sz val="11"/>
            <color indexed="81"/>
            <rFont val="Tahoma"/>
            <family val="2"/>
          </rPr>
          <t xml:space="preserve">
% of available points</t>
        </r>
      </text>
    </comment>
    <comment ref="P42" authorId="0">
      <text>
        <r>
          <rPr>
            <b/>
            <sz val="8"/>
            <color indexed="81"/>
            <rFont val="Tahoma"/>
            <charset val="1"/>
          </rPr>
          <t>Zofia Kuypers:</t>
        </r>
        <r>
          <rPr>
            <sz val="11"/>
            <color indexed="81"/>
            <rFont val="Tahoma"/>
            <family val="2"/>
          </rPr>
          <t xml:space="preserve">
0 because this corresponds with the mechanical ventilation criteria</t>
        </r>
      </text>
    </comment>
    <comment ref="O50" authorId="0">
      <text>
        <r>
          <rPr>
            <b/>
            <sz val="11"/>
            <color indexed="81"/>
            <rFont val="Tahoma"/>
            <family val="2"/>
          </rPr>
          <t>Zofia Kuypers:</t>
        </r>
        <r>
          <rPr>
            <sz val="11"/>
            <color indexed="81"/>
            <rFont val="Tahoma"/>
            <family val="2"/>
          </rPr>
          <t xml:space="preserve">
0 because this line corresponds with the natural ventilation criteria</t>
        </r>
      </text>
    </comment>
    <comment ref="F84" authorId="1">
      <text>
        <r>
          <rPr>
            <b/>
            <sz val="9"/>
            <color indexed="81"/>
            <rFont val="Tahoma"/>
            <family val="2"/>
          </rPr>
          <t>richardj:</t>
        </r>
        <r>
          <rPr>
            <sz val="9"/>
            <color indexed="81"/>
            <rFont val="Tahoma"/>
            <family val="2"/>
          </rPr>
          <t xml:space="preserve">
Minimum peak demand reduction threshold</t>
        </r>
      </text>
    </comment>
  </commentList>
</comments>
</file>

<file path=xl/comments3.xml><?xml version="1.0" encoding="utf-8"?>
<comments xmlns="http://schemas.openxmlformats.org/spreadsheetml/2006/main">
  <authors>
    <author>richardj</author>
  </authors>
  <commentList>
    <comment ref="F38" authorId="0">
      <text>
        <r>
          <rPr>
            <b/>
            <sz val="9"/>
            <color indexed="81"/>
            <rFont val="Tahoma"/>
            <family val="2"/>
          </rPr>
          <t>richardj:</t>
        </r>
        <r>
          <rPr>
            <sz val="9"/>
            <color indexed="81"/>
            <rFont val="Tahoma"/>
            <family val="2"/>
          </rPr>
          <t xml:space="preserve">
Minimum peak demand reduction threshold</t>
        </r>
      </text>
    </comment>
  </commentList>
</comments>
</file>

<file path=xl/comments4.xml><?xml version="1.0" encoding="utf-8"?>
<comments xmlns="http://schemas.openxmlformats.org/spreadsheetml/2006/main">
  <authors>
    <author>richardj</author>
  </authors>
  <commentList>
    <comment ref="F45" authorId="0">
      <text>
        <r>
          <rPr>
            <b/>
            <sz val="9"/>
            <color indexed="81"/>
            <rFont val="Tahoma"/>
            <family val="2"/>
          </rPr>
          <t>richardj:</t>
        </r>
        <r>
          <rPr>
            <sz val="9"/>
            <color indexed="81"/>
            <rFont val="Tahoma"/>
            <family val="2"/>
          </rPr>
          <t xml:space="preserve">
Minimum peak demand reduction threshold</t>
        </r>
      </text>
    </comment>
  </commentList>
</comments>
</file>

<file path=xl/comments5.xml><?xml version="1.0" encoding="utf-8"?>
<comments xmlns="http://schemas.openxmlformats.org/spreadsheetml/2006/main">
  <authors>
    <author>Zofia Kuypers</author>
    <author>Karl Desai</author>
    <author>richardj</author>
  </authors>
  <commentList>
    <comment ref="E28" authorId="0">
      <text>
        <r>
          <rPr>
            <b/>
            <sz val="8"/>
            <color indexed="81"/>
            <rFont val="Tahoma"/>
            <family val="2"/>
          </rPr>
          <t xml:space="preserve">Definition
</t>
        </r>
        <r>
          <rPr>
            <sz val="8"/>
            <color indexed="81"/>
            <rFont val="Tahoma"/>
            <family val="2"/>
          </rPr>
          <t xml:space="preserve">Thermal Power Purchase Agreement (TPPA)
</t>
        </r>
      </text>
    </comment>
    <comment ref="E29" authorId="0">
      <text>
        <r>
          <rPr>
            <b/>
            <sz val="8"/>
            <color indexed="81"/>
            <rFont val="Tahoma"/>
            <family val="2"/>
          </rPr>
          <t xml:space="preserve">Definition
</t>
        </r>
        <r>
          <rPr>
            <sz val="8"/>
            <color indexed="81"/>
            <rFont val="Tahoma"/>
            <family val="2"/>
          </rPr>
          <t>Thermal Power Purchase Agreement (TPPA)</t>
        </r>
      </text>
    </comment>
    <comment ref="E30" authorId="0">
      <text>
        <r>
          <rPr>
            <b/>
            <sz val="8"/>
            <color indexed="81"/>
            <rFont val="Tahoma"/>
            <family val="2"/>
          </rPr>
          <t>Definition</t>
        </r>
        <r>
          <rPr>
            <sz val="8"/>
            <color indexed="81"/>
            <rFont val="Tahoma"/>
            <family val="2"/>
          </rPr>
          <t xml:space="preserve">
Thermal Power Purchase Agreement (TPPA)</t>
        </r>
      </text>
    </comment>
    <comment ref="E31" authorId="0">
      <text>
        <r>
          <rPr>
            <b/>
            <sz val="8"/>
            <color indexed="81"/>
            <rFont val="Tahoma"/>
            <family val="2"/>
          </rPr>
          <t xml:space="preserve">Definition
</t>
        </r>
        <r>
          <rPr>
            <sz val="8"/>
            <color indexed="81"/>
            <rFont val="Tahoma"/>
            <family val="2"/>
          </rPr>
          <t>Power Purchase Agreement (PPA)</t>
        </r>
      </text>
    </comment>
    <comment ref="C33" authorId="1">
      <text>
        <r>
          <rPr>
            <sz val="9"/>
            <color indexed="81"/>
            <rFont val="Tahoma"/>
            <family val="2"/>
          </rPr>
          <t>Please note that calculations for the Benchmark Building are determined based on the inputs from the Reference Building, and are not required to be inputted by project teams. 
Please see the Calculator Guide for additional information.</t>
        </r>
      </text>
    </comment>
    <comment ref="L33" authorId="2">
      <text>
        <r>
          <rPr>
            <sz val="9"/>
            <color indexed="81"/>
            <rFont val="Tahoma"/>
            <family val="2"/>
          </rPr>
          <t>Project teams must provide comment on the causes of the improvements in the Proposed Building where any improvements exceed 5%.</t>
        </r>
      </text>
    </comment>
    <comment ref="D34" authorId="1">
      <text>
        <r>
          <rPr>
            <sz val="9"/>
            <color indexed="81"/>
            <rFont val="Tahoma"/>
            <family val="2"/>
          </rPr>
          <t>Ensure that energy values entered are in units consistent with the GHG emission factors, i.e. kWh for electricity and MJ for all other fuels/energy sources.</t>
        </r>
      </text>
    </comment>
    <comment ref="F34" authorId="1">
      <text>
        <r>
          <rPr>
            <sz val="9"/>
            <color indexed="81"/>
            <rFont val="Tahoma"/>
            <family val="2"/>
          </rPr>
          <t>Ensure that energy values entered are in units consistent with the GHG emission factors, i.e. kWh for electricity and MJ for all other fuels/energy sources.</t>
        </r>
      </text>
    </comment>
    <comment ref="I34" authorId="1">
      <text>
        <r>
          <rPr>
            <sz val="9"/>
            <color indexed="81"/>
            <rFont val="Tahoma"/>
            <family val="2"/>
          </rPr>
          <t>Ensure that energy values entered are in units consistent with the GHG emission factors, i.e. kWh for electricity and MJ for all other fuels/energy sources.</t>
        </r>
        <r>
          <rPr>
            <sz val="8"/>
            <color indexed="81"/>
            <rFont val="Tahoma"/>
            <family val="2"/>
          </rPr>
          <t xml:space="preserve">
</t>
        </r>
      </text>
    </comment>
    <comment ref="B44" authorId="1">
      <text>
        <r>
          <rPr>
            <sz val="9"/>
            <color indexed="81"/>
            <rFont val="Tahoma"/>
            <family val="2"/>
          </rPr>
          <t>Please note that the calculator inputs for the building services are the same in the Reference and Intermediate Building models. Project teams are not required to input these values for the Intermediate Building. 
Please see the Calculator Guide for additional information.</t>
        </r>
      </text>
    </comment>
    <comment ref="K82" authorId="1">
      <text>
        <r>
          <rPr>
            <sz val="9"/>
            <color indexed="81"/>
            <rFont val="Tahoma"/>
            <family val="2"/>
          </rPr>
          <t>Total excluding off-site supply.</t>
        </r>
      </text>
    </comment>
    <comment ref="O94" authorId="2">
      <text>
        <r>
          <rPr>
            <b/>
            <sz val="9"/>
            <color indexed="81"/>
            <rFont val="Tahoma"/>
            <family val="2"/>
          </rPr>
          <t>richardj:</t>
        </r>
        <r>
          <rPr>
            <sz val="9"/>
            <color indexed="81"/>
            <rFont val="Tahoma"/>
            <family val="2"/>
          </rPr>
          <t xml:space="preserve">
Points available for this component of the credit</t>
        </r>
      </text>
    </comment>
    <comment ref="P94" authorId="2">
      <text>
        <r>
          <rPr>
            <b/>
            <sz val="9"/>
            <color indexed="81"/>
            <rFont val="Tahoma"/>
            <family val="2"/>
          </rPr>
          <t>richardj:</t>
        </r>
        <r>
          <rPr>
            <sz val="9"/>
            <color indexed="81"/>
            <rFont val="Tahoma"/>
            <family val="2"/>
          </rPr>
          <t xml:space="preserve">
Proportion of points available for this component of the credit</t>
        </r>
      </text>
    </comment>
    <comment ref="Q94" authorId="2">
      <text>
        <r>
          <rPr>
            <b/>
            <sz val="9"/>
            <color indexed="81"/>
            <rFont val="Tahoma"/>
            <family val="2"/>
          </rPr>
          <t>richardj:</t>
        </r>
        <r>
          <rPr>
            <sz val="9"/>
            <color indexed="81"/>
            <rFont val="Tahoma"/>
            <family val="2"/>
          </rPr>
          <t xml:space="preserve">
Maximum improvement rewarded by credit</t>
        </r>
      </text>
    </comment>
    <comment ref="B97" authorId="1">
      <text>
        <r>
          <rPr>
            <sz val="9"/>
            <color indexed="81"/>
            <rFont val="Tahoma"/>
            <family val="2"/>
          </rPr>
          <t>The Benchmark Building is a 10% improvement over the Reference Building.</t>
        </r>
      </text>
    </comment>
    <comment ref="O104" authorId="2">
      <text>
        <r>
          <rPr>
            <b/>
            <sz val="9"/>
            <color indexed="81"/>
            <rFont val="Tahoma"/>
            <family val="2"/>
          </rPr>
          <t>richardj:</t>
        </r>
        <r>
          <rPr>
            <sz val="9"/>
            <color indexed="81"/>
            <rFont val="Tahoma"/>
            <family val="2"/>
          </rPr>
          <t xml:space="preserve">
Points available for this component of the credit</t>
        </r>
      </text>
    </comment>
    <comment ref="P104" authorId="2">
      <text>
        <r>
          <rPr>
            <b/>
            <sz val="9"/>
            <color indexed="81"/>
            <rFont val="Tahoma"/>
            <family val="2"/>
          </rPr>
          <t>richardj:</t>
        </r>
        <r>
          <rPr>
            <sz val="9"/>
            <color indexed="81"/>
            <rFont val="Tahoma"/>
            <family val="2"/>
          </rPr>
          <t xml:space="preserve">
Proportion of points available for this component of the credit</t>
        </r>
      </text>
    </comment>
    <comment ref="Q104" authorId="2">
      <text>
        <r>
          <rPr>
            <b/>
            <sz val="9"/>
            <color indexed="81"/>
            <rFont val="Tahoma"/>
            <family val="2"/>
          </rPr>
          <t>richardj:</t>
        </r>
        <r>
          <rPr>
            <sz val="9"/>
            <color indexed="81"/>
            <rFont val="Tahoma"/>
            <family val="2"/>
          </rPr>
          <t xml:space="preserve">
Maximum improvement rewarded by credit</t>
        </r>
      </text>
    </comment>
    <comment ref="O107" authorId="2">
      <text>
        <r>
          <rPr>
            <b/>
            <sz val="9"/>
            <color indexed="81"/>
            <rFont val="Tahoma"/>
            <family val="2"/>
          </rPr>
          <t>richardj:</t>
        </r>
        <r>
          <rPr>
            <sz val="9"/>
            <color indexed="81"/>
            <rFont val="Tahoma"/>
            <family val="2"/>
          </rPr>
          <t xml:space="preserve">
Points available for this component of the credit</t>
        </r>
      </text>
    </comment>
    <comment ref="P107" authorId="2">
      <text>
        <r>
          <rPr>
            <b/>
            <sz val="9"/>
            <color indexed="81"/>
            <rFont val="Tahoma"/>
            <family val="2"/>
          </rPr>
          <t>richardj:</t>
        </r>
        <r>
          <rPr>
            <sz val="9"/>
            <color indexed="81"/>
            <rFont val="Tahoma"/>
            <family val="2"/>
          </rPr>
          <t xml:space="preserve">
Proportion of points available for this component of the credit</t>
        </r>
      </text>
    </comment>
    <comment ref="Q107" authorId="2">
      <text>
        <r>
          <rPr>
            <b/>
            <sz val="9"/>
            <color indexed="81"/>
            <rFont val="Tahoma"/>
            <family val="2"/>
          </rPr>
          <t>richardj:</t>
        </r>
        <r>
          <rPr>
            <sz val="9"/>
            <color indexed="81"/>
            <rFont val="Tahoma"/>
            <family val="2"/>
          </rPr>
          <t xml:space="preserve">
Maximum improvement rewarded by credit</t>
        </r>
      </text>
    </comment>
    <comment ref="P117" authorId="2">
      <text>
        <r>
          <rPr>
            <b/>
            <sz val="9"/>
            <color indexed="81"/>
            <rFont val="Tahoma"/>
            <family val="2"/>
          </rPr>
          <t>richardj:</t>
        </r>
        <r>
          <rPr>
            <sz val="9"/>
            <color indexed="81"/>
            <rFont val="Tahoma"/>
            <family val="2"/>
          </rPr>
          <t xml:space="preserve">
Straight line gradient</t>
        </r>
      </text>
    </comment>
    <comment ref="Q117" authorId="2">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<sst xmlns="http://schemas.openxmlformats.org/spreadsheetml/2006/main" count="611" uniqueCount="391">
  <si>
    <t>Legislated Minimum Development Average Rating</t>
  </si>
  <si>
    <t>Legislated Minimum Worst-Case Apartment Rating</t>
  </si>
  <si>
    <t>star</t>
  </si>
  <si>
    <t>Climate Zone</t>
  </si>
  <si>
    <t>NatHERS Climate Zone</t>
  </si>
  <si>
    <t>Energy Intensity at NatHERS 10-star</t>
  </si>
  <si>
    <t>MJ/m²</t>
  </si>
  <si>
    <t>Project Average Energy Intensity</t>
  </si>
  <si>
    <t>Project Worst-Case Energy Intensity</t>
  </si>
  <si>
    <t>HVAC</t>
  </si>
  <si>
    <t>BUILDING SERVICES SPECIFICATION</t>
  </si>
  <si>
    <t>Lighting</t>
  </si>
  <si>
    <t>Domestic Hot Water</t>
  </si>
  <si>
    <t>Appliances and Equipment</t>
  </si>
  <si>
    <t>Location</t>
  </si>
  <si>
    <t>Energy Rating (stars)</t>
  </si>
  <si>
    <t>Darwin</t>
  </si>
  <si>
    <t>Port Hedland</t>
  </si>
  <si>
    <t>Longreach</t>
  </si>
  <si>
    <t>Carnarvon</t>
  </si>
  <si>
    <t>Townsville</t>
  </si>
  <si>
    <t>Alice Springs</t>
  </si>
  <si>
    <t>Rockhampton</t>
  </si>
  <si>
    <t>Moree</t>
  </si>
  <si>
    <t>Amberley</t>
  </si>
  <si>
    <t>Brisbane</t>
  </si>
  <si>
    <t>Coffs Harbour</t>
  </si>
  <si>
    <t>Geraldton</t>
  </si>
  <si>
    <t>Perth</t>
  </si>
  <si>
    <t>Armidale</t>
  </si>
  <si>
    <t>Williamtown</t>
  </si>
  <si>
    <t>Adelaide</t>
  </si>
  <si>
    <t>Sydney East</t>
  </si>
  <si>
    <t>Nowra</t>
  </si>
  <si>
    <t>Charleville</t>
  </si>
  <si>
    <t>Wagga</t>
  </si>
  <si>
    <t>Melbourne</t>
  </si>
  <si>
    <t>East Sale</t>
  </si>
  <si>
    <t>Launceston</t>
  </si>
  <si>
    <t>All common area lighting with automatic lighting control</t>
  </si>
  <si>
    <t>Installed equipment capacity no more than 20% greater than design heating capacity</t>
  </si>
  <si>
    <t>Minimum cooling system Energy Star rating</t>
  </si>
  <si>
    <t>Minimum heating system Energy Star rating</t>
  </si>
  <si>
    <t>Project location postcode</t>
  </si>
  <si>
    <t>Rated Area</t>
  </si>
  <si>
    <t>m²</t>
  </si>
  <si>
    <t>Rated Hours</t>
  </si>
  <si>
    <t>per week</t>
  </si>
  <si>
    <t>kg</t>
  </si>
  <si>
    <t>Installed equipment capacity no more than 10% greater than design cooling capacity</t>
  </si>
  <si>
    <t>Maximum Points</t>
  </si>
  <si>
    <t>Achieved Points</t>
  </si>
  <si>
    <t>TOTAL</t>
  </si>
  <si>
    <t>Area-Weighted Points</t>
  </si>
  <si>
    <t>Performance Improvement</t>
  </si>
  <si>
    <t>Project raw GHG emissions (Scope 1, 2 and 3)</t>
  </si>
  <si>
    <t>Raw GHG emissions (Scope 1, 2 and 3) at GS minimum threshold</t>
  </si>
  <si>
    <t>Refrigerators achieve a minimum Energy Rating of 1 star below the maximum available rating</t>
  </si>
  <si>
    <t>Washing machines achieve a minimum Energy Rating of 1 star below the maximum available rating</t>
  </si>
  <si>
    <t>Clothes dryers achieve a minimum Energy Rating of 1 star below the maximum available rating</t>
  </si>
  <si>
    <t>Dishwashers achieve a minimum Energy Rating of 1 star below the maximum available rating</t>
  </si>
  <si>
    <t>AVAILABLE</t>
  </si>
  <si>
    <t>Photovoltaic</t>
  </si>
  <si>
    <t>Yes</t>
  </si>
  <si>
    <t>No</t>
  </si>
  <si>
    <t>CREDIT SCORE</t>
  </si>
  <si>
    <t>Lighting installation energy efficiency</t>
  </si>
  <si>
    <t>Heating</t>
  </si>
  <si>
    <t>Cooling</t>
  </si>
  <si>
    <t>Heat Rejection</t>
  </si>
  <si>
    <t>Air Conditioning Fans</t>
  </si>
  <si>
    <t>Mechanical Ventilation Fans</t>
  </si>
  <si>
    <t>Pumps</t>
  </si>
  <si>
    <t>Services</t>
  </si>
  <si>
    <t>Lifts</t>
  </si>
  <si>
    <t>Artificial Lighting - Internal</t>
  </si>
  <si>
    <t>Artificial Lighting - External</t>
  </si>
  <si>
    <t>GHG Emissions</t>
  </si>
  <si>
    <t>Renewable Energy</t>
  </si>
  <si>
    <t>Wind Turbines</t>
  </si>
  <si>
    <t>Co/Trigeneration</t>
  </si>
  <si>
    <t>Fuel Input</t>
  </si>
  <si>
    <t>Electricity Output</t>
  </si>
  <si>
    <t>REFERENCE BUILDING</t>
  </si>
  <si>
    <t>BUILDING LOCATION</t>
  </si>
  <si>
    <t>Natural Gas</t>
  </si>
  <si>
    <t>External Energy Services</t>
  </si>
  <si>
    <t>Electricity Supply</t>
  </si>
  <si>
    <t>Source</t>
  </si>
  <si>
    <t>&lt;Other 1 - user to specify&gt;</t>
  </si>
  <si>
    <t>&lt;Other 2 - user to specify&gt;</t>
  </si>
  <si>
    <t>&lt;Other 3 - user to specify&gt;</t>
  </si>
  <si>
    <t>&lt;Other 4 - user to specify&gt;</t>
  </si>
  <si>
    <t>&lt;Other 5 - user to specify&gt;</t>
  </si>
  <si>
    <t>LPG</t>
  </si>
  <si>
    <t>Diesel</t>
  </si>
  <si>
    <t>Coal</t>
  </si>
  <si>
    <t>Biomass</t>
  </si>
  <si>
    <t>Liquid Biofuels</t>
  </si>
  <si>
    <t>District CHW</t>
  </si>
  <si>
    <t>District HHW</t>
  </si>
  <si>
    <t>Grid Electricity</t>
  </si>
  <si>
    <t>Location dependent</t>
  </si>
  <si>
    <t>Improvement</t>
  </si>
  <si>
    <t>Benchmark Building GHG</t>
  </si>
  <si>
    <t>kgCO2e/annum</t>
  </si>
  <si>
    <t>DHW Circulators and Controls</t>
  </si>
  <si>
    <t>DCW Pumps and Controls</t>
  </si>
  <si>
    <t>TOTAL RENEWABLE</t>
  </si>
  <si>
    <t>INTERMEDIATE BUILDING</t>
  </si>
  <si>
    <t>Intermediate Building Energy</t>
  </si>
  <si>
    <t>Proportion of building area assessed</t>
  </si>
  <si>
    <t>Comfort control strategy</t>
  </si>
  <si>
    <t>Natural Ventilation</t>
  </si>
  <si>
    <t>Mechanical cooling</t>
  </si>
  <si>
    <t>Mixed</t>
  </si>
  <si>
    <t>If Mixed, proportion of apartments with nat vent</t>
  </si>
  <si>
    <t>Mech</t>
  </si>
  <si>
    <t>Nat Vent</t>
  </si>
  <si>
    <t>Using Shared Services Utilities</t>
  </si>
  <si>
    <t>ACT</t>
  </si>
  <si>
    <t>NSW</t>
  </si>
  <si>
    <t>NT</t>
  </si>
  <si>
    <t>WA</t>
  </si>
  <si>
    <t>VIC</t>
  </si>
  <si>
    <t>SA</t>
  </si>
  <si>
    <t>TAS</t>
  </si>
  <si>
    <t>QLD</t>
  </si>
  <si>
    <t>Elec</t>
  </si>
  <si>
    <t>Gas</t>
  </si>
  <si>
    <t>Upper</t>
  </si>
  <si>
    <t>Lower</t>
  </si>
  <si>
    <t>NA</t>
  </si>
  <si>
    <t>Installed solar thermal heating system capacity (total RECs)</t>
  </si>
  <si>
    <t>Building total nominal occupancy</t>
  </si>
  <si>
    <t>Item</t>
  </si>
  <si>
    <t>Class</t>
  </si>
  <si>
    <t>Leakage Rate</t>
  </si>
  <si>
    <t>GHG Emission Rate</t>
  </si>
  <si>
    <t>Commercial air conditioning – chillers</t>
  </si>
  <si>
    <t>Commercial refrigeration – supermarket systems</t>
  </si>
  <si>
    <t>Industrial refrigeration including food processing and cold storage</t>
  </si>
  <si>
    <t>Gas insulated switchgear and circuit breaker applications</t>
  </si>
  <si>
    <t>Synthetic GHG source equipment type</t>
  </si>
  <si>
    <t>Leakage rate</t>
  </si>
  <si>
    <t>GHG Content</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</si>
  <si>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</si>
  <si>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</si>
  <si>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Location independent</t>
  </si>
  <si>
    <r>
      <t>kgCO</t>
    </r>
    <r>
      <rPr>
        <vertAlign val="subscript"/>
        <sz val="10"/>
        <color theme="1"/>
        <rFont val="Arial"/>
        <family val="2"/>
      </rPr>
      <t>2</t>
    </r>
    <r>
      <rPr>
        <sz val="10"/>
        <color theme="1"/>
        <rFont val="Arial"/>
        <family val="2"/>
      </rPr>
      <t>e/kWh</t>
    </r>
  </si>
  <si>
    <r>
      <t>kgCO</t>
    </r>
    <r>
      <rPr>
        <vertAlign val="subscript"/>
        <sz val="10"/>
        <color theme="1"/>
        <rFont val="Arial"/>
        <family val="2"/>
      </rPr>
      <t>2</t>
    </r>
    <r>
      <rPr>
        <sz val="10"/>
        <color theme="1"/>
        <rFont val="Arial"/>
        <family val="2"/>
      </rPr>
      <t>e/MJ</t>
    </r>
  </si>
  <si>
    <t>GHG Emission Intensity Factors</t>
  </si>
  <si>
    <t>Building Sealing</t>
  </si>
  <si>
    <t>Lighting power density is reduced by at least 10% below the requirement of BCA Part J6 for sole-occupancy units of Class 2 buildings, and in all communal areas accessible by residents</t>
  </si>
  <si>
    <t>Independent light switching to each room of each sole-occupancy unit (including separation of kitchen and living area in open-plan living/dining areas).</t>
  </si>
  <si>
    <t>Cross ventilation pathway in all naturally ventilated apartments</t>
  </si>
  <si>
    <t>Ceiling fan installed in all naturally ventilated apartments</t>
  </si>
  <si>
    <t>Glazing</t>
  </si>
  <si>
    <t>Automated lighting control systems are provided to at least 95% of the nominated area</t>
  </si>
  <si>
    <t>For Class 5 and 9a buildings, individually switched lighting zones do not exceed 100 m²</t>
  </si>
  <si>
    <t>For mechanically air conditioned and mixed mode spaces, a pressurised building air leakage test in accordance with ASTM E779-10 or ATTMA TSL2</t>
  </si>
  <si>
    <t>TOTAL AVAILABLE</t>
  </si>
  <si>
    <t>Canberra</t>
  </si>
  <si>
    <t>Cabramurra</t>
  </si>
  <si>
    <t>Hobart</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</si>
  <si>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</si>
  <si>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</si>
  <si>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</si>
  <si>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</si>
  <si>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</si>
  <si>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</si>
  <si>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</si>
  <si>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</si>
  <si>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</si>
  <si>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</si>
  <si>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</si>
  <si>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</si>
  <si>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</si>
  <si>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</si>
  <si>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</si>
  <si>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</si>
  <si>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</si>
  <si>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</si>
  <si>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</si>
  <si>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</si>
  <si>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</si>
  <si>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</si>
  <si>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</si>
  <si>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</si>
  <si>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</si>
  <si>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</si>
  <si>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</si>
  <si>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</si>
  <si>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</si>
  <si>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</si>
  <si>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</si>
  <si>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</si>
  <si>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</si>
  <si>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</si>
  <si>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</si>
  <si>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</si>
  <si>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</si>
  <si>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</si>
  <si>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</si>
  <si>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</si>
  <si>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</si>
  <si>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</si>
  <si>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</si>
  <si>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Units</t>
  </si>
  <si>
    <t>Day of Peak Demand</t>
  </si>
  <si>
    <t>Peak Demand (kW)</t>
  </si>
  <si>
    <t>MJ/annum</t>
  </si>
  <si>
    <t>Energy/GHG Reduction</t>
  </si>
  <si>
    <t>Peak Demand Reduction</t>
  </si>
  <si>
    <t>Gross Floor Area (m²)</t>
  </si>
  <si>
    <t>District DHW</t>
  </si>
  <si>
    <t>ENERGY AND GREENHOUSE GAS EMISSIONS REDUCTION</t>
  </si>
  <si>
    <t>kVA</t>
  </si>
  <si>
    <t>Always on, on-site power generation supply</t>
  </si>
  <si>
    <t>Peak demand reduction</t>
  </si>
  <si>
    <t>Building calculated maximum electricity demand as per AS3000</t>
  </si>
  <si>
    <t>Reference Building Energy</t>
  </si>
  <si>
    <t>Appliances (Class 2 only)</t>
  </si>
  <si>
    <t>Electric heat pump (COP&gt;3.5)</t>
  </si>
  <si>
    <t>Waste or recovered heat</t>
  </si>
  <si>
    <t>Other</t>
  </si>
  <si>
    <t>DHW non-renewable fuel source</t>
  </si>
  <si>
    <t>All material R values are increased by at least 15% relative to the minimum required values as per Parts J1.3, J1.5 and J1.6</t>
  </si>
  <si>
    <t>For vertical glazing, not more than 85% of the total allowance for each orientation of each storey of the building</t>
  </si>
  <si>
    <t>For roof lights, reduction of at least 15% from the applicable U and SHGC values as per Part J1.4</t>
  </si>
  <si>
    <t>A reduction of at least 30% relative to the maximum allowable aggregated lighting power density as per Part J6</t>
  </si>
  <si>
    <t>A reduction of at least 15% relative to the maximum allowable fan motor power as per Part J5.2</t>
  </si>
  <si>
    <t>A reduction of at least 15% relative to the maximum allowable pump motor power as per Part J5.4</t>
  </si>
  <si>
    <t>An increase of at least 15% relative to the minimum required gross thermal efficiency for water heaters as per Part J5.4</t>
  </si>
  <si>
    <t>PPA term</t>
  </si>
  <si>
    <t>TPPA term</t>
  </si>
  <si>
    <t>Swimming Pools</t>
  </si>
  <si>
    <t>Building capacity</t>
  </si>
  <si>
    <t>Baseline GHG emission rate</t>
  </si>
  <si>
    <t>District Electricity (inc GreenPower)</t>
  </si>
  <si>
    <t>Off-site supply max points</t>
  </si>
  <si>
    <t>&lt;90%</t>
  </si>
  <si>
    <t>≥90%</t>
  </si>
  <si>
    <t>Innovation - Renewable Energy</t>
  </si>
  <si>
    <t>Conditional Requirement</t>
  </si>
  <si>
    <t>POINTS SCORE</t>
  </si>
  <si>
    <t>NABERS Energy Reverse Calculator Input and Output</t>
  </si>
  <si>
    <t>NABERS Energy Rating Calculator Output</t>
  </si>
  <si>
    <t>stars</t>
  </si>
  <si>
    <t>Commitment Agreement</t>
  </si>
  <si>
    <t>Fill out each individual tab that represents the composition of your project.</t>
  </si>
  <si>
    <t>Then, allocate the Gross Floor Area of each NCC Class type that are included in your Green Star project and area-weighted points will be calculated.</t>
  </si>
  <si>
    <t>Multiple Pathways Calculator</t>
  </si>
  <si>
    <t>Nat-vent</t>
  </si>
  <si>
    <t>Do not touch</t>
  </si>
  <si>
    <t>% of value to score</t>
  </si>
  <si>
    <t>answers to column "c"</t>
  </si>
  <si>
    <t>total</t>
  </si>
  <si>
    <t>x</t>
  </si>
  <si>
    <t>Change Log</t>
  </si>
  <si>
    <t>User Input Cells</t>
  </si>
  <si>
    <t>Rows may be inserted if requried</t>
  </si>
  <si>
    <t>Rows may be inserted if required</t>
  </si>
  <si>
    <t>%</t>
  </si>
  <si>
    <t>Project input</t>
  </si>
  <si>
    <t>Minimum Average Benchmark</t>
  </si>
  <si>
    <t>Minimum Worst-Case Benchmark</t>
  </si>
  <si>
    <t>Benchmark Energy Intensity</t>
  </si>
  <si>
    <t>Worst Case Energy Intensity Benchmark</t>
  </si>
  <si>
    <t>Benchmark Building Information</t>
  </si>
  <si>
    <t>TOTAL POINTS ACHIEVED</t>
  </si>
  <si>
    <t>TOTAL POINTS AVAILABLE</t>
  </si>
  <si>
    <t>Energy Intensity Conditional Requirement met?</t>
  </si>
  <si>
    <t>Worst Case Unit Conditional Requirement met?</t>
  </si>
  <si>
    <t>Credit Score</t>
  </si>
  <si>
    <t>Control strategy</t>
  </si>
  <si>
    <t>An increase of at least 15% relative to the minimum required energy efficiency ratio for packaged air conditioning equipment and refrigerant chillers as per Part J5.4 or MEPS</t>
  </si>
  <si>
    <t>The building is naturally ventilated in accordance with IEQ - Indoor Environment Quality</t>
  </si>
  <si>
    <t>F31 is a circular reference - I think it should be 16 to calculate the points</t>
  </si>
  <si>
    <t>Contract emission rate: CHW</t>
  </si>
  <si>
    <t>Contract emission rate: HHW</t>
  </si>
  <si>
    <t>Contract emission rate: DHW</t>
  </si>
  <si>
    <t>Contract emission rate: District Electricity</t>
  </si>
  <si>
    <t>Calculator Release</t>
  </si>
  <si>
    <t>Release 2 - 7/04/2015</t>
  </si>
  <si>
    <t>Summary of Changes</t>
  </si>
  <si>
    <t>Initial release.</t>
  </si>
  <si>
    <t>Release 3 - 22/04/2015</t>
  </si>
  <si>
    <t>Building Total NLA (excluding car parks)</t>
  </si>
  <si>
    <t>Building NLA within NABERS Energy scope</t>
  </si>
  <si>
    <t>Green Star - Design &amp; As Built
Submission Guidelines 
Version 1.0</t>
  </si>
  <si>
    <t>Disclaimer, Authorisation and Acknowledgment</t>
  </si>
  <si>
    <t>PROPOSED BUILDING</t>
  </si>
  <si>
    <t>TOTALS</t>
  </si>
  <si>
    <t>RESULTS</t>
  </si>
  <si>
    <t>Energy Consumption Reduction</t>
  </si>
  <si>
    <t>Greenhouse Gas Emissions Reduction</t>
  </si>
  <si>
    <t>Total Points Achieved</t>
  </si>
  <si>
    <t>Total Points Available</t>
  </si>
  <si>
    <t>Results</t>
  </si>
  <si>
    <t>Renewable GHG Reduction 
(excluding GreenPower)</t>
  </si>
  <si>
    <t>Energy Consumption Reduction Points</t>
  </si>
  <si>
    <t>GHG Emissions Reduction Points</t>
  </si>
  <si>
    <t>Peak Electricity Demand Reduction</t>
  </si>
  <si>
    <t>Reference Building</t>
  </si>
  <si>
    <t>Proposed Building</t>
  </si>
  <si>
    <t>Peak electricity demand reduction</t>
  </si>
  <si>
    <t>Comments</t>
  </si>
  <si>
    <t>Proposed Building GHG 
(excluding off-site supply)</t>
  </si>
  <si>
    <t>Proposed Building GHG</t>
  </si>
  <si>
    <t>Subtotal GHG Emissions</t>
  </si>
  <si>
    <t>District Electricity (incl GreenPower)</t>
  </si>
  <si>
    <t>Release 4 - 29/04/2015</t>
  </si>
  <si>
    <t xml:space="preserve">For the '15.C Nabers Energy Path' method, amended:
     1) Terminology change from 'GFA' to 'NLA'.
</t>
  </si>
  <si>
    <t xml:space="preserve">For the '15.D Modelled Pathway' method, amended:
     1) Sum calculations under the 'Reference', 'Intermediate' and 'Design' Buildings for 'Services' to include all user inputs for 'Appliances (Class 2 only)', 'Swimming Pools', and any other services nominated by the project team; and
     2) Calculation for GHG Emissions Intensity Factor, where District Electricity is used.
</t>
  </si>
  <si>
    <t>GHG Emissions
(excl offsite supply)</t>
  </si>
  <si>
    <r>
      <t xml:space="preserve">For the '15.D Modelled Pathway' method, amended terminology, instructions and formatting to make clear the distinction between different building models used in this pathway's calculations. Please see the Calculator Guide for additional information.
For clarity, the method of calculation used in this pathway is:
     - </t>
    </r>
    <r>
      <rPr>
        <b/>
        <sz val="10"/>
        <color theme="1"/>
        <rFont val="Arial"/>
        <family val="2"/>
      </rPr>
      <t>Energy Consumption Reduction:</t>
    </r>
    <r>
      <rPr>
        <sz val="10"/>
        <color theme="1"/>
        <rFont val="Arial"/>
        <family val="2"/>
      </rPr>
      <t xml:space="preserve"> comparison between Intermediate Building and Reference Building; and
  </t>
    </r>
    <r>
      <rPr>
        <b/>
        <sz val="10"/>
        <color theme="1"/>
        <rFont val="Arial"/>
        <family val="2"/>
      </rPr>
      <t xml:space="preserve">   - Greenhouse Gas Emissions Reduction: </t>
    </r>
    <r>
      <rPr>
        <sz val="10"/>
        <color theme="1"/>
        <rFont val="Arial"/>
        <family val="2"/>
      </rPr>
      <t xml:space="preserve">comparison between Proposed Building and Benchmark Building.
</t>
    </r>
  </si>
  <si>
    <t>Annual Energy Consumption</t>
  </si>
  <si>
    <t>Release 1 - 31/10/2014</t>
  </si>
  <si>
    <t>Release 5 - 27/05/2015</t>
  </si>
  <si>
    <t>District Energy Systems</t>
  </si>
  <si>
    <t>Contract</t>
  </si>
  <si>
    <t xml:space="preserve">Building  </t>
  </si>
  <si>
    <t xml:space="preserve">For the '15.D Modelled Pathway' method, amended:
     1) Terminology from 'Energy Demand' to 'Annual Energy Consumption' to accurately reflect the values used in calculations; and
     2) Minor calculation error in cell J37.
</t>
  </si>
  <si>
    <t>Building type</t>
  </si>
  <si>
    <t>BASIX Climate Zone (Energy)</t>
  </si>
  <si>
    <t>BASIX Energy Score</t>
  </si>
  <si>
    <t>Conditional Requirement met?</t>
  </si>
  <si>
    <t>Avg</t>
  </si>
  <si>
    <t>WC</t>
  </si>
  <si>
    <t>BASIX Thermal Comfort Criteria - UNITS ONLY</t>
  </si>
  <si>
    <t>Htg</t>
  </si>
  <si>
    <t>Clg</t>
  </si>
  <si>
    <t>Byron</t>
  </si>
  <si>
    <t>Newcastle</t>
  </si>
  <si>
    <t>Sydney CBD</t>
  </si>
  <si>
    <t>West Sydney</t>
  </si>
  <si>
    <t>East Sydney</t>
  </si>
  <si>
    <t>Required reduction relative to benchmark</t>
  </si>
  <si>
    <t>BASIX Energy Criteria</t>
  </si>
  <si>
    <t>Detached</t>
  </si>
  <si>
    <t>Low Rise</t>
  </si>
  <si>
    <t>Mid Rise</t>
  </si>
  <si>
    <t>High Rise</t>
  </si>
  <si>
    <t>Conditional Requirement Energy Reduction (10% improvement)</t>
  </si>
  <si>
    <t>BASIX Target Energy Reduction</t>
  </si>
  <si>
    <t>15A Prescriptive Path</t>
  </si>
  <si>
    <t>15B NatHERS Path</t>
  </si>
  <si>
    <t>15C BASIX Path</t>
  </si>
  <si>
    <t>15D NABERS Energy Path</t>
  </si>
  <si>
    <t>15E Modelled Path</t>
  </si>
  <si>
    <t>Energy Intensity Reduction</t>
  </si>
  <si>
    <r>
      <t>Percentage GreenPower</t>
    </r>
    <r>
      <rPr>
        <sz val="10"/>
        <color theme="1"/>
        <rFont val="Calibri"/>
        <family val="2"/>
      </rPr>
      <t>®</t>
    </r>
  </si>
  <si>
    <r>
      <t>Accredited GreenPower</t>
    </r>
    <r>
      <rPr>
        <b/>
        <sz val="10"/>
        <color theme="1"/>
        <rFont val="Calibri"/>
        <family val="2"/>
      </rPr>
      <t>®</t>
    </r>
  </si>
  <si>
    <r>
      <t>Accredited GreenPower</t>
    </r>
    <r>
      <rPr>
        <sz val="10"/>
        <color theme="1"/>
        <rFont val="Calibri"/>
        <family val="2"/>
      </rPr>
      <t>®</t>
    </r>
  </si>
  <si>
    <t>15A Prescriptive Pathway</t>
  </si>
  <si>
    <t>15B NatHERS Pathway</t>
  </si>
  <si>
    <t>15C BASIX Pathway</t>
  </si>
  <si>
    <t>15D NABERS Energy Commitment Agreement Pathway</t>
  </si>
  <si>
    <t>15E Modelled Performance Pathway</t>
  </si>
  <si>
    <t>Building Envelope</t>
  </si>
  <si>
    <t>Ventilation and Air-conditioning</t>
  </si>
  <si>
    <t>Domestic Hot Water Systems</t>
  </si>
  <si>
    <t>BASIX inputs</t>
  </si>
  <si>
    <r>
      <t>Accredited GreenPower</t>
    </r>
    <r>
      <rPr>
        <b/>
        <sz val="14"/>
        <color theme="0"/>
        <rFont val="Calibri"/>
        <family val="2"/>
      </rPr>
      <t>®</t>
    </r>
  </si>
  <si>
    <r>
      <t>Percentage GreenPower</t>
    </r>
    <r>
      <rPr>
        <b/>
        <sz val="10"/>
        <color theme="3" tint="-0.499984740745262"/>
        <rFont val="Calibri"/>
        <family val="2"/>
      </rPr>
      <t>®</t>
    </r>
    <r>
      <rPr>
        <b/>
        <sz val="10"/>
        <color theme="3" tint="-0.499984740745262"/>
        <rFont val="Arial"/>
        <family val="2"/>
      </rPr>
      <t xml:space="preserve"> as stipulated within the building's power supply contract</t>
    </r>
  </si>
  <si>
    <t>BASIX Points</t>
  </si>
  <si>
    <t>GreenPower Points</t>
  </si>
  <si>
    <t>Total Points</t>
  </si>
  <si>
    <t>16B PEAK ELECTRICITY DEMAND REDUCTION</t>
  </si>
  <si>
    <t>16A PEAK ELECTRICITY DEMAND REDUCTION</t>
  </si>
  <si>
    <t>Compliance is achieved with IEQ Indoor Air Quality credit</t>
  </si>
  <si>
    <t>Mixed (/final calc)</t>
  </si>
  <si>
    <t>HVAC section points calc</t>
  </si>
  <si>
    <t>Ventilation and Air-Conditioning</t>
  </si>
  <si>
    <t>Ventilation and Comfort strategy</t>
  </si>
  <si>
    <t>Mechanical Heating/Cooling</t>
  </si>
  <si>
    <t>Which is provided? Heating, cooling or both?</t>
  </si>
  <si>
    <t>Both</t>
  </si>
  <si>
    <t>Mechanical heating provided? (only assessed if cooling is not provided)</t>
  </si>
  <si>
    <t>The domestic hot water systems are powered by one of the following heat sources:
• Renewable Energy;
• Natural Gas;
• Electric heat pump with a minimum coefficient of performance (COP) of 3.5 under design conditions; or
• Waste heat or heat recovered from another process.</t>
  </si>
  <si>
    <t>Refer here for Energy Target by postcode</t>
  </si>
  <si>
    <t>This calculator addresses criterion '15A GHG Emissions Reduction - Prescriptive Pathway' and '16A Prescriptive Pathway - Onsite Energy Generation'.</t>
  </si>
  <si>
    <t>This calculator addresses criterion '15B GHG Emissions Reduction - NaTHERS Pathway' and '16A Prescriptive Pathway - Onsite Energy Generation'.</t>
  </si>
  <si>
    <t>This calculator addresses items 15C from 'Greenhouse Gas Emissions - BASIX Pathway' and  '16A Prescriptive Pathway - Onsite Energy Generation'.</t>
  </si>
  <si>
    <t>This calculator addresses criterion '15DGHG Emissions Reduction - NABERS Energy Commitment Agreement Pathway' and '16A Prescriptive Pathway - Onsite Energy Generation'.</t>
  </si>
  <si>
    <t>This calculator addresses criterion '15E GHG Emissions Reduction - Modelled Performance Pathway' and '16B Modelled Performance Pathway: Reference Building.'</t>
  </si>
  <si>
    <t xml:space="preserve">For mechanically air-conditioned buildings, an air pressurisation test is carried out in accordance with ASTM E779-10, ATTMA TSL2, or an equivalent standard.  </t>
  </si>
  <si>
    <t>Green Star - Design &amp; As Built
Submission Guidelines 
Version 1.1</t>
  </si>
  <si>
    <t xml:space="preserve">Updates to the entire spreadsheet to reflect the updated pathway numbering.
For the '15A Prescriptive Path' tab:
     1) Added the Domestic Hot Water section.
For the '15B NatHERS Path' tab, multiple changes including:
     1) Removed erroneous requirement referring to IEQ-1 from the Building Sealing criteria;
     2) Updated questions and answers in b18/D18 and b19/D10;
     3) Corrections to the formulas that 'turn on' and 'turn off' the various HVAC elements depending on the HVAC mode selected;
     4) Added in a requirement for Naturally Ventilation buildings (to match credit requirements). 
Inserted the '15C BASIX Path' tab. This pathway allows residential projects in NSW to use their BASIX results as inputs for the GHG Credit.
For the '15E Modelled Path' tab:
     1) Formatting changes to District Energy Systems section. No changes to calculation methodology.
For the 'Multiple Path Calcs' tab:
     1) Multiple edits to allow for insertion of the BASIX Pathway
</t>
  </si>
  <si>
    <t>Release 1 - 22/07/2015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</si>
</sst>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5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b/>
      <sz val="10"/>
      <color theme="3" tint="-0.499984740745262"/>
      <name val="Arial"/>
      <family val="2"/>
    </font>
    <font>
      <sz val="10"/>
      <color theme="0"/>
      <name val="Arial"/>
      <family val="2"/>
    </font>
    <font>
      <b/>
      <sz val="10"/>
      <color theme="0"/>
      <name val="Arial"/>
      <family val="2"/>
    </font>
    <font>
      <b/>
      <sz val="12"/>
      <color theme="0"/>
      <name val="Arial"/>
      <family val="2"/>
    </font>
    <font>
      <sz val="8"/>
      <color indexed="81"/>
      <name val="Tahoma"/>
      <family val="2"/>
    </font>
    <font>
      <b/>
      <sz val="14"/>
      <color theme="0"/>
      <name val="Calibri"/>
      <family val="2"/>
      <scheme val="minor"/>
    </font>
    <font>
      <i/>
      <sz val="11"/>
      <color theme="1"/>
      <name val="Arial"/>
      <family val="2"/>
    </font>
    <font>
      <b/>
      <sz val="8"/>
      <color indexed="81"/>
      <name val="Tahoma"/>
      <family val="2"/>
    </font>
    <font>
      <u/>
      <sz val="10"/>
      <color theme="10"/>
      <name val="Arial"/>
      <family val="2"/>
    </font>
    <font>
      <b/>
      <sz val="10"/>
      <name val="Arial"/>
      <family val="2"/>
    </font>
    <font>
      <sz val="10"/>
      <color theme="1"/>
      <name val="Calibri"/>
      <family val="2"/>
    </font>
    <font>
      <b/>
      <sz val="10"/>
      <color theme="1"/>
      <name val="Calibri"/>
      <family val="2"/>
    </font>
    <font>
      <b/>
      <sz val="14"/>
      <color theme="0"/>
      <name val="Calibri"/>
      <family val="2"/>
    </font>
    <font>
      <b/>
      <sz val="10"/>
      <color theme="3" tint="-0.499984740745262"/>
      <name val="Calibri"/>
      <family val="2"/>
    </font>
    <font>
      <b/>
      <sz val="8"/>
      <color indexed="81"/>
      <name val="Tahoma"/>
      <charset val="1"/>
    </font>
    <font>
      <sz val="11"/>
      <color indexed="81"/>
      <name val="Tahoma"/>
      <family val="2"/>
    </font>
    <font>
      <b/>
      <sz val="11"/>
      <color indexed="81"/>
      <name val="Tahoma"/>
      <family val="2"/>
    </font>
  </fonts>
  <fills count="43">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s>
  <borders count="41">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ashDotDot">
        <color auto="1"/>
      </left>
      <right style="dashDotDot">
        <color auto="1"/>
      </right>
      <top style="dashDotDot">
        <color auto="1"/>
      </top>
      <bottom style="dashDotDot">
        <color auto="1"/>
      </bottom>
      <diagonal/>
    </border>
    <border>
      <left/>
      <right/>
      <top style="thin">
        <color indexed="64"/>
      </top>
      <bottom style="double">
        <color indexed="64"/>
      </bottom>
      <diagonal/>
    </border>
    <border>
      <left/>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thin">
        <color indexed="64"/>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0">
    <xf numFmtId="0" fontId="0" fillId="0" borderId="0"/>
    <xf numFmtId="9" fontId="6" fillId="0" borderId="0" applyFont="0" applyFill="0" applyBorder="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9" applyNumberFormat="0" applyAlignment="0" applyProtection="0"/>
    <xf numFmtId="0" fontId="19" fillId="8" borderId="10" applyNumberFormat="0" applyAlignment="0" applyProtection="0"/>
    <xf numFmtId="0" fontId="20" fillId="8" borderId="9" applyNumberFormat="0" applyAlignment="0" applyProtection="0"/>
    <xf numFmtId="0" fontId="21" fillId="0" borderId="11" applyNumberFormat="0" applyFill="0" applyAlignment="0" applyProtection="0"/>
    <xf numFmtId="0" fontId="22" fillId="9" borderId="1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6" fillId="34" borderId="0" applyNumberFormat="0" applyBorder="0" applyAlignment="0" applyProtection="0"/>
    <xf numFmtId="0" fontId="4" fillId="0" borderId="0"/>
    <xf numFmtId="0" fontId="4" fillId="10" borderId="13" applyNumberFormat="0" applyFont="0" applyAlignment="0" applyProtection="0"/>
    <xf numFmtId="0" fontId="3" fillId="0" borderId="0"/>
    <xf numFmtId="0" fontId="30" fillId="0" borderId="0"/>
    <xf numFmtId="0" fontId="2" fillId="0" borderId="0"/>
    <xf numFmtId="0" fontId="1" fillId="12" borderId="0" applyNumberFormat="0" applyBorder="0" applyAlignment="0" applyProtection="0"/>
    <xf numFmtId="0" fontId="1" fillId="13" borderId="0" applyNumberFormat="0" applyBorder="0" applyAlignment="0" applyProtection="0"/>
    <xf numFmtId="0" fontId="44" fillId="0" borderId="0" applyNumberFormat="0" applyFill="0" applyBorder="0" applyAlignment="0" applyProtection="0">
      <alignment vertical="top"/>
      <protection locked="0"/>
    </xf>
  </cellStyleXfs>
  <cellXfs count="262">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wrapText="1"/>
    </xf>
    <xf numFmtId="0" fontId="0" fillId="3" borderId="1" xfId="0" applyFill="1" applyBorder="1"/>
    <xf numFmtId="0" fontId="0" fillId="0" borderId="0" xfId="0" applyFont="1"/>
    <xf numFmtId="0" fontId="5" fillId="0" borderId="0" xfId="0" applyFont="1" applyAlignment="1">
      <alignment vertical="center"/>
    </xf>
    <xf numFmtId="0" fontId="0" fillId="2" borderId="1" xfId="0" applyFill="1" applyBorder="1" applyProtection="1">
      <protection locked="0"/>
    </xf>
    <xf numFmtId="0" fontId="5" fillId="0" borderId="3" xfId="0" applyFont="1" applyBorder="1"/>
    <xf numFmtId="2" fontId="0" fillId="0" borderId="0" xfId="0" applyNumberFormat="1" applyAlignment="1">
      <alignment vertical="center"/>
    </xf>
    <xf numFmtId="0" fontId="0" fillId="0" borderId="0" xfId="0" applyFont="1" applyAlignment="1">
      <alignment vertical="center"/>
    </xf>
    <xf numFmtId="0" fontId="0" fillId="0" borderId="0" xfId="0" applyAlignment="1">
      <alignment vertical="center" wrapText="1"/>
    </xf>
    <xf numFmtId="0" fontId="5" fillId="0" borderId="5" xfId="0" applyFont="1" applyBorder="1"/>
    <xf numFmtId="0" fontId="0" fillId="2" borderId="1" xfId="0" applyFill="1" applyBorder="1" applyAlignment="1" applyProtection="1">
      <alignment wrapText="1"/>
      <protection locked="0"/>
    </xf>
    <xf numFmtId="0" fontId="5" fillId="3" borderId="1" xfId="0" applyFont="1" applyFill="1" applyBorder="1"/>
    <xf numFmtId="0" fontId="5" fillId="0" borderId="0" xfId="0" applyFont="1" applyAlignment="1">
      <alignment vertical="center" wrapText="1"/>
    </xf>
    <xf numFmtId="0" fontId="6" fillId="0" borderId="0" xfId="42" applyFont="1"/>
    <xf numFmtId="0" fontId="0" fillId="0" borderId="0" xfId="42" applyFont="1"/>
    <xf numFmtId="9" fontId="0" fillId="0" borderId="0" xfId="0" quotePrefix="1" applyNumberFormat="1"/>
    <xf numFmtId="0" fontId="0" fillId="0" borderId="0" xfId="0" applyAlignment="1">
      <alignment wrapText="1"/>
    </xf>
    <xf numFmtId="0" fontId="3" fillId="0" borderId="0" xfId="44"/>
    <xf numFmtId="0" fontId="3" fillId="0" borderId="0" xfId="44" applyFill="1"/>
    <xf numFmtId="0" fontId="29" fillId="0" borderId="0" xfId="44" applyFont="1" applyFill="1"/>
    <xf numFmtId="0" fontId="29" fillId="35" borderId="0" xfId="44" applyFont="1" applyFill="1"/>
    <xf numFmtId="3" fontId="31" fillId="36" borderId="16" xfId="45" applyNumberFormat="1" applyFont="1" applyFill="1" applyBorder="1" applyAlignment="1" applyProtection="1">
      <alignment horizontal="left" vertical="center" wrapText="1"/>
    </xf>
    <xf numFmtId="0" fontId="32" fillId="0" borderId="0" xfId="0" applyFont="1" applyFill="1"/>
    <xf numFmtId="2" fontId="32" fillId="0" borderId="0" xfId="0" applyNumberFormat="1" applyFont="1" applyFill="1" applyAlignment="1">
      <alignment horizontal="center"/>
    </xf>
    <xf numFmtId="0" fontId="27" fillId="0" borderId="0" xfId="0" applyFont="1" applyFill="1"/>
    <xf numFmtId="0" fontId="32" fillId="12" borderId="17" xfId="19" applyFont="1" applyBorder="1"/>
    <xf numFmtId="0" fontId="6" fillId="0" borderId="0" xfId="0" applyFont="1" applyFill="1"/>
    <xf numFmtId="0" fontId="32" fillId="0" borderId="0" xfId="0" applyFont="1" applyFill="1" applyProtection="1"/>
    <xf numFmtId="2" fontId="32" fillId="0" borderId="0" xfId="0" applyNumberFormat="1" applyFont="1" applyFill="1" applyAlignment="1" applyProtection="1">
      <alignment horizontal="center"/>
    </xf>
    <xf numFmtId="0" fontId="27" fillId="0" borderId="0" xfId="0" applyFont="1" applyFill="1" applyProtection="1"/>
    <xf numFmtId="0" fontId="32" fillId="12" borderId="17" xfId="19" applyFont="1" applyBorder="1" applyProtection="1"/>
    <xf numFmtId="0" fontId="6" fillId="0" borderId="0" xfId="0" applyFont="1" applyFill="1" applyProtection="1"/>
    <xf numFmtId="0" fontId="0" fillId="0" borderId="0" xfId="0" applyProtection="1"/>
    <xf numFmtId="0" fontId="33" fillId="37" borderId="0" xfId="18" applyFont="1" applyFill="1" applyBorder="1" applyProtection="1"/>
    <xf numFmtId="2" fontId="5" fillId="13" borderId="0" xfId="20" applyNumberFormat="1" applyFont="1" applyBorder="1" applyAlignment="1" applyProtection="1">
      <alignment horizontal="center" wrapText="1"/>
    </xf>
    <xf numFmtId="0" fontId="5" fillId="13" borderId="0" xfId="20" applyFont="1" applyBorder="1" applyProtection="1"/>
    <xf numFmtId="0" fontId="0" fillId="0" borderId="0" xfId="0" applyAlignment="1" applyProtection="1">
      <alignment wrapText="1"/>
    </xf>
    <xf numFmtId="9" fontId="0" fillId="0" borderId="0" xfId="0" applyNumberFormat="1"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Fill="1" applyBorder="1" applyAlignment="1" applyProtection="1">
      <alignment vertical="center" wrapText="1"/>
    </xf>
    <xf numFmtId="0" fontId="0" fillId="36" borderId="15" xfId="0" applyFill="1" applyBorder="1" applyAlignment="1" applyProtection="1">
      <alignment horizontal="left" vertical="center"/>
    </xf>
    <xf numFmtId="0" fontId="0" fillId="36" borderId="4" xfId="0" applyFill="1" applyBorder="1" applyAlignment="1" applyProtection="1">
      <alignment horizontal="left" vertical="center"/>
    </xf>
    <xf numFmtId="0" fontId="5" fillId="13" borderId="0" xfId="20" applyFont="1" applyBorder="1" applyAlignment="1" applyProtection="1">
      <alignment vertical="center"/>
    </xf>
    <xf numFmtId="0" fontId="0" fillId="0" borderId="0" xfId="0" applyFont="1" applyFill="1" applyProtection="1"/>
    <xf numFmtId="0" fontId="0" fillId="36" borderId="15" xfId="0" applyFill="1" applyBorder="1" applyAlignment="1" applyProtection="1">
      <alignment horizontal="center" vertical="center"/>
    </xf>
    <xf numFmtId="0" fontId="0" fillId="36" borderId="4" xfId="0" applyFill="1" applyBorder="1" applyAlignment="1" applyProtection="1">
      <alignment horizontal="center" vertical="center"/>
    </xf>
    <xf numFmtId="0" fontId="0" fillId="36" borderId="19" xfId="0" applyFill="1" applyBorder="1" applyAlignment="1" applyProtection="1">
      <alignment horizontal="center" vertical="center"/>
    </xf>
    <xf numFmtId="0" fontId="28" fillId="13" borderId="0" xfId="20" applyFont="1" applyBorder="1" applyAlignment="1" applyProtection="1">
      <alignment vertical="center"/>
    </xf>
    <xf numFmtId="0" fontId="33" fillId="37" borderId="0" xfId="18" applyFont="1" applyFill="1" applyBorder="1" applyAlignment="1" applyProtection="1">
      <alignment vertical="center"/>
    </xf>
    <xf numFmtId="0" fontId="34" fillId="0" borderId="0" xfId="18" applyFont="1" applyFill="1" applyBorder="1" applyAlignment="1" applyProtection="1">
      <alignment vertical="center"/>
    </xf>
    <xf numFmtId="0" fontId="34" fillId="0" borderId="0" xfId="18" applyFont="1" applyFill="1" applyBorder="1" applyProtection="1"/>
    <xf numFmtId="0" fontId="35" fillId="0" borderId="0" xfId="0" applyFont="1" applyProtection="1"/>
    <xf numFmtId="0" fontId="6" fillId="12" borderId="15" xfId="19" applyFont="1" applyBorder="1" applyAlignment="1" applyProtection="1">
      <alignment horizontal="center" vertical="center"/>
      <protection locked="0"/>
    </xf>
    <xf numFmtId="0" fontId="5" fillId="13" borderId="0" xfId="20" applyFont="1" applyBorder="1" applyAlignment="1">
      <alignment vertical="center"/>
    </xf>
    <xf numFmtId="9" fontId="0" fillId="0" borderId="0" xfId="0" applyNumberFormat="1" applyAlignment="1">
      <alignment vertical="center"/>
    </xf>
    <xf numFmtId="164" fontId="0" fillId="36" borderId="4" xfId="1" applyNumberFormat="1" applyFont="1" applyFill="1" applyBorder="1" applyAlignment="1" applyProtection="1">
      <alignment horizontal="center" vertical="center"/>
    </xf>
    <xf numFmtId="0" fontId="5" fillId="0" borderId="0" xfId="0" applyFont="1" applyAlignment="1" applyProtection="1">
      <alignment vertical="center"/>
    </xf>
    <xf numFmtId="0" fontId="0" fillId="0" borderId="0" xfId="0" applyAlignment="1" applyProtection="1">
      <alignment horizontal="center" vertical="center"/>
    </xf>
    <xf numFmtId="0" fontId="0" fillId="0" borderId="2" xfId="0" applyFill="1" applyBorder="1" applyAlignment="1" applyProtection="1">
      <alignment vertical="center"/>
    </xf>
    <xf numFmtId="0" fontId="0" fillId="0" borderId="0" xfId="0" applyFill="1" applyBorder="1" applyAlignment="1" applyProtection="1">
      <alignment vertical="center"/>
    </xf>
    <xf numFmtId="0" fontId="5" fillId="13" borderId="0" xfId="20" applyFont="1" applyBorder="1" applyAlignment="1" applyProtection="1">
      <alignment horizontal="center" vertical="center"/>
    </xf>
    <xf numFmtId="0" fontId="36" fillId="0" borderId="0" xfId="0" applyFont="1" applyFill="1" applyBorder="1" applyAlignment="1" applyProtection="1">
      <alignment vertical="center"/>
    </xf>
    <xf numFmtId="164" fontId="36" fillId="0" borderId="0" xfId="0" applyNumberFormat="1" applyFont="1" applyFill="1" applyBorder="1"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5" fillId="0" borderId="18" xfId="0" applyFont="1" applyFill="1" applyBorder="1" applyAlignment="1" applyProtection="1">
      <alignment horizontal="center" vertical="center"/>
    </xf>
    <xf numFmtId="9" fontId="5" fillId="0" borderId="18" xfId="1" applyFont="1" applyFill="1" applyBorder="1" applyAlignment="1" applyProtection="1">
      <alignment horizontal="center" vertical="center"/>
    </xf>
    <xf numFmtId="0" fontId="0" fillId="0" borderId="0" xfId="0" applyAlignment="1" applyProtection="1">
      <alignment horizontal="center"/>
    </xf>
    <xf numFmtId="0" fontId="5" fillId="13" borderId="0" xfId="20" applyFont="1" applyBorder="1" applyAlignment="1" applyProtection="1">
      <alignment horizontal="center"/>
    </xf>
    <xf numFmtId="0" fontId="0" fillId="0" borderId="0" xfId="0" applyAlignment="1" applyProtection="1">
      <alignment horizontal="right"/>
    </xf>
    <xf numFmtId="0" fontId="36" fillId="38" borderId="0" xfId="20" applyFont="1" applyFill="1" applyBorder="1" applyProtection="1"/>
    <xf numFmtId="0" fontId="36" fillId="38" borderId="0" xfId="20" applyFont="1" applyFill="1" applyBorder="1" applyAlignment="1" applyProtection="1">
      <alignment horizontal="center"/>
    </xf>
    <xf numFmtId="165" fontId="0" fillId="0" borderId="0" xfId="0" applyNumberFormat="1" applyProtection="1"/>
    <xf numFmtId="9" fontId="0" fillId="0" borderId="0" xfId="0" applyNumberFormat="1" applyAlignment="1" applyProtection="1">
      <alignment vertical="center"/>
    </xf>
    <xf numFmtId="0" fontId="36" fillId="38" borderId="0" xfId="20" applyFont="1" applyFill="1" applyBorder="1" applyAlignment="1" applyProtection="1">
      <alignment vertical="center"/>
    </xf>
    <xf numFmtId="165" fontId="0" fillId="0" borderId="0" xfId="0" applyNumberFormat="1" applyAlignment="1" applyProtection="1">
      <alignment vertical="center"/>
    </xf>
    <xf numFmtId="0" fontId="0" fillId="0" borderId="0" xfId="0" applyFont="1" applyAlignment="1" applyProtection="1">
      <alignment vertical="center" wrapText="1"/>
    </xf>
    <xf numFmtId="0" fontId="28" fillId="0" borderId="0" xfId="0" applyFont="1" applyFill="1" applyBorder="1" applyAlignment="1" applyProtection="1">
      <alignment horizontal="right" vertical="center"/>
    </xf>
    <xf numFmtId="164" fontId="28"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18"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9" fontId="28" fillId="0" borderId="0" xfId="0" applyNumberFormat="1" applyFont="1" applyBorder="1" applyAlignment="1" applyProtection="1">
      <alignment vertical="center"/>
    </xf>
    <xf numFmtId="0" fontId="28" fillId="0" borderId="0"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wrapText="1"/>
    </xf>
    <xf numFmtId="0" fontId="28" fillId="0" borderId="0" xfId="0" applyFont="1" applyAlignment="1" applyProtection="1">
      <alignment horizontal="left" vertical="center" wrapText="1"/>
    </xf>
    <xf numFmtId="0" fontId="0" fillId="0" borderId="0" xfId="0" applyAlignment="1" applyProtection="1">
      <alignment horizontal="left" vertical="center" indent="1"/>
    </xf>
    <xf numFmtId="0" fontId="0" fillId="0" borderId="0" xfId="0" applyAlignment="1" applyProtection="1">
      <alignment horizontal="left" vertical="center" wrapText="1" indent="1"/>
    </xf>
    <xf numFmtId="0" fontId="0" fillId="0" borderId="0" xfId="0" applyFont="1" applyAlignment="1" applyProtection="1">
      <alignment vertical="center"/>
    </xf>
    <xf numFmtId="2" fontId="0" fillId="0" borderId="0" xfId="0" applyNumberFormat="1" applyAlignment="1" applyProtection="1">
      <alignment vertical="center"/>
    </xf>
    <xf numFmtId="0" fontId="5" fillId="0" borderId="0" xfId="0" applyFont="1" applyAlignment="1" applyProtection="1">
      <alignment horizontal="right"/>
    </xf>
    <xf numFmtId="0" fontId="0" fillId="0" borderId="0" xfId="0" applyAlignment="1" applyProtection="1">
      <alignment horizontal="right" vertical="center" indent="1"/>
    </xf>
    <xf numFmtId="0" fontId="5" fillId="0" borderId="0" xfId="0" applyFont="1" applyAlignment="1" applyProtection="1">
      <alignment horizontal="right" vertical="center"/>
    </xf>
    <xf numFmtId="166" fontId="0" fillId="36" borderId="4" xfId="0" applyNumberFormat="1" applyFill="1" applyBorder="1" applyAlignment="1" applyProtection="1">
      <alignment horizontal="right" vertical="center"/>
    </xf>
    <xf numFmtId="3" fontId="0" fillId="36" borderId="1" xfId="0" applyNumberFormat="1" applyFill="1" applyBorder="1" applyAlignment="1">
      <alignment horizontal="center" vertical="center"/>
    </xf>
    <xf numFmtId="0" fontId="37" fillId="37" borderId="0" xfId="0" applyFont="1" applyFill="1" applyAlignment="1">
      <alignment vertical="center" wrapText="1"/>
    </xf>
    <xf numFmtId="0" fontId="38" fillId="37" borderId="0" xfId="0" applyFont="1" applyFill="1" applyAlignment="1">
      <alignment vertical="center" wrapText="1"/>
    </xf>
    <xf numFmtId="2" fontId="0" fillId="0" borderId="0" xfId="0" applyNumberFormat="1" applyFill="1" applyBorder="1" applyAlignment="1">
      <alignment vertical="center"/>
    </xf>
    <xf numFmtId="2" fontId="5" fillId="0" borderId="0" xfId="0" applyNumberFormat="1" applyFont="1" applyFill="1" applyBorder="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5" fillId="36" borderId="1" xfId="0" applyNumberFormat="1" applyFont="1" applyFill="1" applyBorder="1" applyAlignment="1">
      <alignment horizontal="center" vertical="center"/>
    </xf>
    <xf numFmtId="0" fontId="0" fillId="0" borderId="0" xfId="0" applyAlignment="1">
      <alignment horizontal="center" vertical="center"/>
    </xf>
    <xf numFmtId="0" fontId="5" fillId="36" borderId="4" xfId="0" applyFont="1" applyFill="1" applyBorder="1" applyAlignment="1" applyProtection="1">
      <alignment horizontal="left" vertical="center"/>
    </xf>
    <xf numFmtId="0" fontId="5" fillId="0" borderId="22" xfId="0" applyFont="1" applyBorder="1" applyAlignment="1">
      <alignment vertical="center" wrapText="1"/>
    </xf>
    <xf numFmtId="0" fontId="5" fillId="36" borderId="22" xfId="0" applyFont="1" applyFill="1" applyBorder="1" applyAlignment="1">
      <alignment horizontal="center"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xf>
    <xf numFmtId="0" fontId="0" fillId="0" borderId="0" xfId="0" applyBorder="1" applyAlignment="1">
      <alignment vertical="center"/>
    </xf>
    <xf numFmtId="0" fontId="0" fillId="0" borderId="0" xfId="0" applyFont="1" applyBorder="1" applyAlignment="1">
      <alignment vertical="center" wrapText="1"/>
    </xf>
    <xf numFmtId="0" fontId="0" fillId="0" borderId="23" xfId="0" applyFont="1" applyBorder="1" applyAlignment="1">
      <alignment vertical="center"/>
    </xf>
    <xf numFmtId="0" fontId="6" fillId="12" borderId="1" xfId="19" applyFont="1" applyBorder="1" applyAlignment="1" applyProtection="1">
      <alignment horizontal="center" vertical="center"/>
      <protection locked="0"/>
    </xf>
    <xf numFmtId="0" fontId="0" fillId="0" borderId="4" xfId="0" applyBorder="1" applyAlignment="1">
      <alignment vertical="center" wrapText="1"/>
    </xf>
    <xf numFmtId="0" fontId="0" fillId="0" borderId="4" xfId="0" applyBorder="1" applyAlignment="1">
      <alignment horizontal="center" vertical="center" wrapText="1"/>
    </xf>
    <xf numFmtId="0" fontId="5" fillId="0" borderId="0" xfId="0" applyFont="1" applyAlignment="1" applyProtection="1">
      <alignment horizontal="right" vertical="center" indent="1"/>
    </xf>
    <xf numFmtId="164" fontId="0" fillId="36" borderId="4" xfId="0" applyNumberFormat="1" applyFill="1" applyBorder="1" applyAlignment="1" applyProtection="1">
      <alignment horizontal="center" vertical="center"/>
    </xf>
    <xf numFmtId="2" fontId="5" fillId="0" borderId="18" xfId="0" applyNumberFormat="1" applyFont="1" applyFill="1" applyBorder="1" applyAlignment="1" applyProtection="1">
      <alignment horizontal="center" vertical="center"/>
    </xf>
    <xf numFmtId="0" fontId="6" fillId="12" borderId="0" xfId="19" applyFont="1" applyBorder="1" applyAlignment="1" applyProtection="1">
      <alignment horizontal="center" vertical="center"/>
      <protection locked="0"/>
    </xf>
    <xf numFmtId="2" fontId="0" fillId="39" borderId="0" xfId="0" applyNumberFormat="1" applyFill="1" applyAlignment="1" applyProtection="1">
      <alignment vertical="center"/>
    </xf>
    <xf numFmtId="0" fontId="0" fillId="39" borderId="0" xfId="0" applyFill="1" applyAlignment="1" applyProtection="1">
      <alignment vertical="center"/>
    </xf>
    <xf numFmtId="9" fontId="28" fillId="0" borderId="0" xfId="1" applyFont="1" applyFill="1" applyBorder="1" applyAlignment="1" applyProtection="1">
      <alignment horizontal="center" vertical="center"/>
    </xf>
    <xf numFmtId="0" fontId="0" fillId="0" borderId="0" xfId="0" applyFill="1" applyAlignment="1" applyProtection="1">
      <alignment vertical="center"/>
    </xf>
    <xf numFmtId="0" fontId="0" fillId="0" borderId="0" xfId="0" quotePrefix="1" applyFill="1" applyAlignment="1" applyProtection="1">
      <alignment vertical="center"/>
    </xf>
    <xf numFmtId="0" fontId="38" fillId="37" borderId="16" xfId="45" applyNumberFormat="1" applyFont="1" applyFill="1" applyBorder="1" applyAlignment="1" applyProtection="1">
      <alignment horizontal="left" vertical="center" wrapText="1"/>
    </xf>
    <xf numFmtId="0" fontId="32" fillId="0" borderId="0" xfId="46" applyFont="1"/>
    <xf numFmtId="0" fontId="32" fillId="0" borderId="0" xfId="46" applyFont="1" applyAlignment="1">
      <alignment horizontal="center"/>
    </xf>
    <xf numFmtId="0" fontId="33" fillId="35" borderId="0" xfId="46" applyFont="1" applyFill="1" applyAlignment="1" applyProtection="1">
      <alignment vertical="center"/>
    </xf>
    <xf numFmtId="0" fontId="39" fillId="35" borderId="0" xfId="46" applyFont="1" applyFill="1" applyAlignment="1" applyProtection="1">
      <alignment horizontal="center"/>
    </xf>
    <xf numFmtId="0" fontId="39" fillId="35" borderId="0" xfId="46" applyFont="1" applyFill="1" applyAlignment="1" applyProtection="1"/>
    <xf numFmtId="0" fontId="0" fillId="0" borderId="16" xfId="46" applyFont="1" applyBorder="1" applyAlignment="1">
      <alignment horizontal="left" vertical="center" wrapText="1"/>
    </xf>
    <xf numFmtId="0" fontId="41" fillId="35" borderId="0" xfId="44" applyFont="1" applyFill="1" applyAlignment="1">
      <alignment vertical="center"/>
    </xf>
    <xf numFmtId="3" fontId="5" fillId="36" borderId="3" xfId="0" applyNumberFormat="1" applyFont="1" applyFill="1" applyBorder="1" applyAlignment="1">
      <alignment horizontal="center" vertical="center"/>
    </xf>
    <xf numFmtId="9" fontId="0" fillId="0" borderId="4" xfId="1" applyFont="1" applyBorder="1" applyAlignment="1">
      <alignment horizontal="center" vertical="center" wrapText="1"/>
    </xf>
    <xf numFmtId="2" fontId="0" fillId="0" borderId="4" xfId="0" applyNumberFormat="1" applyBorder="1" applyAlignment="1">
      <alignment horizontal="center" vertical="center" wrapText="1"/>
    </xf>
    <xf numFmtId="164" fontId="28" fillId="40" borderId="0" xfId="0" applyNumberFormat="1" applyFont="1" applyFill="1" applyBorder="1" applyAlignment="1" applyProtection="1">
      <alignment horizontal="center" vertical="center"/>
    </xf>
    <xf numFmtId="0" fontId="28" fillId="40" borderId="0" xfId="0" applyFont="1" applyFill="1" applyBorder="1" applyAlignment="1" applyProtection="1">
      <alignment horizontal="right" vertical="center"/>
    </xf>
    <xf numFmtId="0" fontId="28" fillId="40" borderId="0" xfId="0" applyFont="1" applyFill="1" applyAlignment="1" applyProtection="1">
      <alignment horizontal="right" vertical="center"/>
    </xf>
    <xf numFmtId="3" fontId="5" fillId="36" borderId="24" xfId="0" applyNumberFormat="1" applyFont="1" applyFill="1" applyBorder="1" applyAlignment="1">
      <alignment horizontal="center" vertical="center"/>
    </xf>
    <xf numFmtId="0" fontId="38" fillId="37" borderId="0" xfId="0" applyFont="1" applyFill="1" applyBorder="1" applyAlignment="1">
      <alignment horizontal="center" vertical="center"/>
    </xf>
    <xf numFmtId="3" fontId="5" fillId="36" borderId="20" xfId="0" applyNumberFormat="1" applyFont="1" applyFill="1" applyBorder="1" applyAlignment="1">
      <alignment horizontal="center" vertical="center"/>
    </xf>
    <xf numFmtId="0" fontId="38" fillId="37" borderId="2" xfId="0" applyFont="1" applyFill="1" applyBorder="1" applyAlignment="1">
      <alignment horizontal="center" vertical="center"/>
    </xf>
    <xf numFmtId="0" fontId="38" fillId="37" borderId="21" xfId="0" applyFont="1" applyFill="1" applyBorder="1" applyAlignment="1">
      <alignment horizontal="center" vertical="center"/>
    </xf>
    <xf numFmtId="0" fontId="5" fillId="13" borderId="2" xfId="20" applyFont="1" applyBorder="1" applyAlignment="1">
      <alignment vertical="center"/>
    </xf>
    <xf numFmtId="0" fontId="5" fillId="13" borderId="21" xfId="20" applyFont="1" applyBorder="1" applyAlignment="1">
      <alignment vertical="center"/>
    </xf>
    <xf numFmtId="3" fontId="5" fillId="36" borderId="23" xfId="0" applyNumberFormat="1" applyFont="1" applyFill="1" applyBorder="1" applyAlignment="1">
      <alignment horizontal="center" vertical="center"/>
    </xf>
    <xf numFmtId="0" fontId="6" fillId="12" borderId="23" xfId="19" applyFont="1" applyBorder="1" applyAlignment="1" applyProtection="1">
      <alignment horizontal="center" vertical="center"/>
      <protection locked="0"/>
    </xf>
    <xf numFmtId="0" fontId="6" fillId="0" borderId="1" xfId="19" applyFont="1" applyFill="1" applyBorder="1" applyAlignment="1" applyProtection="1">
      <alignment horizontal="center" vertical="center"/>
    </xf>
    <xf numFmtId="0" fontId="6" fillId="12" borderId="22" xfId="19" applyFont="1" applyBorder="1" applyAlignment="1" applyProtection="1">
      <alignment horizontal="center" vertical="center"/>
      <protection locked="0"/>
    </xf>
    <xf numFmtId="0" fontId="5" fillId="40" borderId="4" xfId="0" applyFont="1" applyFill="1" applyBorder="1" applyAlignment="1">
      <alignment vertical="center" wrapText="1"/>
    </xf>
    <xf numFmtId="0" fontId="5" fillId="40" borderId="4" xfId="0" applyFont="1" applyFill="1" applyBorder="1" applyAlignment="1">
      <alignment horizontal="center" vertical="center" wrapText="1"/>
    </xf>
    <xf numFmtId="2" fontId="5" fillId="40" borderId="4" xfId="0" applyNumberFormat="1" applyFont="1" applyFill="1" applyBorder="1" applyAlignment="1">
      <alignment horizontal="center" vertical="center" wrapText="1"/>
    </xf>
    <xf numFmtId="0" fontId="42" fillId="12" borderId="17" xfId="19" applyFont="1" applyBorder="1" applyAlignment="1">
      <alignment horizontal="center"/>
    </xf>
    <xf numFmtId="0" fontId="38" fillId="37" borderId="0" xfId="20" applyFont="1" applyFill="1" applyBorder="1" applyAlignment="1">
      <alignment vertical="center"/>
    </xf>
    <xf numFmtId="0" fontId="38" fillId="37" borderId="0" xfId="20" applyFont="1" applyFill="1" applyBorder="1" applyAlignment="1">
      <alignment horizontal="center" vertical="center"/>
    </xf>
    <xf numFmtId="9" fontId="0" fillId="0" borderId="1" xfId="1" applyFont="1" applyBorder="1" applyAlignment="1">
      <alignment horizontal="center" vertical="center"/>
    </xf>
    <xf numFmtId="14" fontId="0" fillId="12" borderId="1" xfId="19" applyNumberFormat="1" applyFont="1" applyBorder="1" applyAlignment="1" applyProtection="1">
      <alignment horizontal="center" vertical="center"/>
      <protection locked="0"/>
    </xf>
    <xf numFmtId="3" fontId="0" fillId="36" borderId="0" xfId="0" applyNumberFormat="1" applyFill="1" applyBorder="1" applyAlignment="1">
      <alignment horizontal="center" vertical="center"/>
    </xf>
    <xf numFmtId="0" fontId="0" fillId="36" borderId="0" xfId="0" applyFill="1" applyBorder="1" applyAlignment="1" applyProtection="1">
      <alignment horizontal="center" vertical="center"/>
    </xf>
    <xf numFmtId="0" fontId="0" fillId="36" borderId="25" xfId="0" applyFill="1" applyBorder="1" applyAlignment="1" applyProtection="1">
      <alignment horizontal="center" vertical="center"/>
    </xf>
    <xf numFmtId="0" fontId="5" fillId="0" borderId="0" xfId="0" applyFont="1" applyFill="1" applyBorder="1" applyAlignment="1" applyProtection="1">
      <alignment horizontal="left" vertical="center"/>
    </xf>
    <xf numFmtId="3" fontId="38" fillId="37" borderId="0" xfId="0" applyNumberFormat="1" applyFont="1" applyFill="1" applyBorder="1" applyAlignment="1">
      <alignment horizontal="center" vertical="center"/>
    </xf>
    <xf numFmtId="0" fontId="5" fillId="36" borderId="19" xfId="0" applyFont="1" applyFill="1" applyBorder="1" applyAlignment="1" applyProtection="1">
      <alignment horizontal="left" vertical="center" wrapText="1"/>
    </xf>
    <xf numFmtId="0" fontId="0" fillId="0" borderId="25" xfId="0" applyBorder="1" applyAlignment="1">
      <alignment vertical="center"/>
    </xf>
    <xf numFmtId="0" fontId="5" fillId="36" borderId="15" xfId="0" applyFont="1" applyFill="1" applyBorder="1" applyAlignment="1" applyProtection="1">
      <alignment horizontal="left" vertical="center"/>
    </xf>
    <xf numFmtId="3" fontId="38" fillId="37" borderId="0" xfId="0" applyNumberFormat="1" applyFont="1" applyFill="1" applyBorder="1" applyAlignment="1">
      <alignment horizontal="center" vertical="center"/>
    </xf>
    <xf numFmtId="3" fontId="38" fillId="37" borderId="21" xfId="0" applyNumberFormat="1" applyFont="1" applyFill="1" applyBorder="1" applyAlignment="1">
      <alignment horizontal="center" vertical="center"/>
    </xf>
    <xf numFmtId="0" fontId="0" fillId="36" borderId="26" xfId="0" applyFill="1" applyBorder="1" applyAlignment="1" applyProtection="1">
      <alignment horizontal="center" vertical="center"/>
    </xf>
    <xf numFmtId="0" fontId="0" fillId="36" borderId="27" xfId="0" applyFill="1" applyBorder="1" applyAlignment="1" applyProtection="1">
      <alignment horizontal="center" vertical="center"/>
    </xf>
    <xf numFmtId="0" fontId="0" fillId="36" borderId="23" xfId="0" applyFill="1" applyBorder="1" applyAlignment="1" applyProtection="1">
      <alignment horizontal="center" vertical="center"/>
    </xf>
    <xf numFmtId="0" fontId="0" fillId="36" borderId="22" xfId="0" applyFill="1" applyBorder="1" applyAlignment="1" applyProtection="1">
      <alignment horizontal="center" vertical="center"/>
    </xf>
    <xf numFmtId="0" fontId="0" fillId="36" borderId="28" xfId="0" applyFill="1" applyBorder="1" applyAlignment="1" applyProtection="1">
      <alignment horizontal="center" vertical="center"/>
    </xf>
    <xf numFmtId="0" fontId="0" fillId="36" borderId="29" xfId="0" applyFill="1" applyBorder="1" applyAlignment="1" applyProtection="1">
      <alignment horizontal="center" vertical="center"/>
    </xf>
    <xf numFmtId="3" fontId="38" fillId="37" borderId="21" xfId="0" applyNumberFormat="1" applyFont="1" applyFill="1" applyBorder="1" applyAlignment="1">
      <alignment horizontal="center" vertical="center" wrapText="1"/>
    </xf>
    <xf numFmtId="0" fontId="6" fillId="0" borderId="16" xfId="46" applyFont="1" applyBorder="1" applyAlignment="1">
      <alignment horizontal="left" vertical="center"/>
    </xf>
    <xf numFmtId="14" fontId="31" fillId="36" borderId="16" xfId="45" applyNumberFormat="1" applyFont="1" applyFill="1" applyBorder="1" applyAlignment="1" applyProtection="1">
      <alignment horizontal="left" vertical="center" wrapText="1"/>
    </xf>
    <xf numFmtId="0" fontId="38" fillId="37" borderId="2" xfId="0" applyFont="1" applyFill="1" applyBorder="1" applyAlignment="1">
      <alignment horizontal="center" vertical="center" wrapText="1"/>
    </xf>
    <xf numFmtId="0" fontId="38" fillId="37" borderId="0" xfId="0" applyFont="1" applyFill="1" applyBorder="1" applyAlignment="1">
      <alignment horizontal="center" vertical="center" wrapText="1"/>
    </xf>
    <xf numFmtId="3" fontId="38" fillId="37" borderId="2" xfId="0" applyNumberFormat="1" applyFont="1" applyFill="1" applyBorder="1" applyAlignment="1">
      <alignment horizontal="center" vertical="center" wrapText="1"/>
    </xf>
    <xf numFmtId="0" fontId="6" fillId="12" borderId="4" xfId="19" applyFont="1" applyBorder="1" applyAlignment="1" applyProtection="1">
      <alignment horizontal="center" vertical="center"/>
      <protection locked="0"/>
    </xf>
    <xf numFmtId="0" fontId="0" fillId="0" borderId="4" xfId="0" applyBorder="1" applyAlignment="1">
      <alignment vertical="center"/>
    </xf>
    <xf numFmtId="0" fontId="0" fillId="36" borderId="0" xfId="0" applyFill="1" applyBorder="1" applyAlignment="1" applyProtection="1">
      <alignment horizontal="left" vertical="center"/>
    </xf>
    <xf numFmtId="166" fontId="0" fillId="36" borderId="0" xfId="0" applyNumberFormat="1" applyFill="1" applyBorder="1" applyAlignment="1" applyProtection="1">
      <alignment horizontal="right" vertical="center"/>
    </xf>
    <xf numFmtId="0" fontId="0" fillId="0" borderId="4" xfId="0" applyFont="1" applyBorder="1" applyAlignment="1">
      <alignment vertical="center"/>
    </xf>
    <xf numFmtId="0" fontId="0" fillId="0" borderId="4" xfId="0" applyFont="1" applyBorder="1" applyAlignment="1">
      <alignment vertical="center" wrapText="1"/>
    </xf>
    <xf numFmtId="0" fontId="32" fillId="12" borderId="17" xfId="47" applyFont="1" applyBorder="1" applyProtection="1"/>
    <xf numFmtId="0" fontId="5" fillId="13" borderId="0" xfId="48" applyFont="1" applyBorder="1" applyProtection="1"/>
    <xf numFmtId="0" fontId="33" fillId="0" borderId="0" xfId="18" applyFont="1" applyFill="1" applyBorder="1" applyAlignment="1" applyProtection="1">
      <alignment vertical="center"/>
    </xf>
    <xf numFmtId="0" fontId="6" fillId="12" borderId="15" xfId="47" applyFont="1" applyBorder="1" applyAlignment="1" applyProtection="1">
      <alignment horizontal="center" vertical="center"/>
      <protection locked="0"/>
    </xf>
    <xf numFmtId="0" fontId="33" fillId="0" borderId="0" xfId="18" applyFont="1" applyFill="1" applyBorder="1" applyProtection="1"/>
    <xf numFmtId="0" fontId="6" fillId="12" borderId="30" xfId="47" applyFont="1" applyBorder="1" applyAlignment="1" applyProtection="1">
      <alignment horizontal="center" vertical="center"/>
      <protection locked="0"/>
    </xf>
    <xf numFmtId="0" fontId="44" fillId="0" borderId="0" xfId="49" applyFill="1" applyBorder="1" applyAlignment="1" applyProtection="1">
      <alignment vertical="center"/>
    </xf>
    <xf numFmtId="0" fontId="6" fillId="0" borderId="0" xfId="47" applyFont="1" applyFill="1" applyBorder="1" applyAlignment="1" applyProtection="1">
      <alignment horizontal="center" vertical="center"/>
    </xf>
    <xf numFmtId="0" fontId="5" fillId="13" borderId="0" xfId="48" applyFont="1" applyBorder="1" applyAlignment="1" applyProtection="1">
      <alignment vertical="center"/>
    </xf>
    <xf numFmtId="0" fontId="5" fillId="13" borderId="0" xfId="48" applyFont="1" applyBorder="1" applyAlignment="1" applyProtection="1">
      <alignment horizontal="center" vertical="center"/>
    </xf>
    <xf numFmtId="9" fontId="36" fillId="0" borderId="0" xfId="1" applyFont="1" applyFill="1" applyBorder="1" applyAlignment="1" applyProtection="1">
      <alignment horizontal="center" vertical="center"/>
    </xf>
    <xf numFmtId="0" fontId="28" fillId="13" borderId="0" xfId="48" applyFont="1" applyBorder="1" applyAlignment="1" applyProtection="1">
      <alignment vertical="center"/>
    </xf>
    <xf numFmtId="9" fontId="0" fillId="0" borderId="0" xfId="1" applyFont="1"/>
    <xf numFmtId="165" fontId="45" fillId="0" borderId="0" xfId="0" applyNumberFormat="1" applyFont="1" applyFill="1" applyBorder="1" applyAlignment="1" applyProtection="1">
      <alignment horizontal="center" vertical="center"/>
    </xf>
    <xf numFmtId="165" fontId="6" fillId="12" borderId="0" xfId="1" applyNumberFormat="1" applyFont="1" applyFill="1" applyBorder="1" applyAlignment="1" applyProtection="1">
      <alignment horizontal="center" vertical="center"/>
      <protection locked="0"/>
    </xf>
    <xf numFmtId="9" fontId="6" fillId="12" borderId="15" xfId="1" applyNumberFormat="1" applyFont="1" applyFill="1" applyBorder="1" applyAlignment="1" applyProtection="1">
      <alignment horizontal="center" vertical="center"/>
      <protection locked="0"/>
    </xf>
    <xf numFmtId="0" fontId="0" fillId="36" borderId="30" xfId="0" applyFill="1" applyBorder="1" applyAlignment="1" applyProtection="1">
      <alignment horizontal="left" vertical="center"/>
    </xf>
    <xf numFmtId="0" fontId="0" fillId="36" borderId="30" xfId="0" applyFill="1" applyBorder="1" applyAlignment="1" applyProtection="1">
      <alignment horizontal="center" vertical="center"/>
    </xf>
    <xf numFmtId="0" fontId="5" fillId="36" borderId="30" xfId="0" applyFont="1" applyFill="1" applyBorder="1" applyAlignment="1" applyProtection="1">
      <alignment horizontal="left" vertical="center"/>
    </xf>
    <xf numFmtId="0" fontId="5" fillId="36" borderId="30" xfId="0" applyFont="1" applyFill="1" applyBorder="1" applyAlignment="1" applyProtection="1">
      <alignment horizontal="center" vertical="center"/>
    </xf>
    <xf numFmtId="2" fontId="0" fillId="0" borderId="0" xfId="0" applyNumberFormat="1" applyProtection="1"/>
    <xf numFmtId="0" fontId="0" fillId="0" borderId="0" xfId="0" applyProtection="1">
      <protection hidden="1"/>
    </xf>
    <xf numFmtId="0" fontId="0" fillId="0" borderId="0" xfId="0" applyAlignment="1" applyProtection="1">
      <alignment horizontal="center"/>
      <protection hidden="1"/>
    </xf>
    <xf numFmtId="0" fontId="33" fillId="37" borderId="0" xfId="18" applyFont="1" applyFill="1" applyBorder="1" applyAlignment="1" applyProtection="1">
      <alignment vertical="center"/>
      <protection hidden="1"/>
    </xf>
    <xf numFmtId="0" fontId="33" fillId="37" borderId="0" xfId="18" applyFont="1" applyFill="1" applyBorder="1" applyProtection="1">
      <protection hidden="1"/>
    </xf>
    <xf numFmtId="0" fontId="36" fillId="0" borderId="0" xfId="0" applyFont="1" applyFill="1" applyBorder="1" applyAlignment="1" applyProtection="1">
      <alignment vertical="center"/>
      <protection hidden="1"/>
    </xf>
    <xf numFmtId="0" fontId="5" fillId="13" borderId="0" xfId="48" applyFont="1" applyBorder="1" applyAlignment="1" applyProtection="1">
      <alignment vertical="center"/>
      <protection hidden="1"/>
    </xf>
    <xf numFmtId="0" fontId="5" fillId="13" borderId="0" xfId="48" applyFont="1" applyBorder="1" applyAlignment="1" applyProtection="1">
      <alignment horizontal="center" vertical="center"/>
      <protection hidden="1"/>
    </xf>
    <xf numFmtId="0" fontId="0" fillId="0" borderId="0" xfId="0" applyFill="1" applyAlignment="1" applyProtection="1">
      <alignment vertical="center" wrapText="1"/>
    </xf>
    <xf numFmtId="9" fontId="6" fillId="12" borderId="15" xfId="1" applyFont="1" applyFill="1" applyBorder="1" applyAlignment="1" applyProtection="1">
      <alignment horizontal="center" vertical="center"/>
      <protection locked="0"/>
    </xf>
    <xf numFmtId="0" fontId="0" fillId="0" borderId="32" xfId="0" applyBorder="1" applyProtection="1"/>
    <xf numFmtId="0" fontId="0" fillId="0" borderId="33" xfId="0" applyBorder="1" applyProtection="1"/>
    <xf numFmtId="0" fontId="0" fillId="0" borderId="34" xfId="0" applyBorder="1" applyAlignment="1" applyProtection="1">
      <alignment vertical="center"/>
    </xf>
    <xf numFmtId="9" fontId="0" fillId="0" borderId="0" xfId="0" applyNumberFormat="1" applyBorder="1" applyAlignment="1" applyProtection="1">
      <alignment vertical="center"/>
    </xf>
    <xf numFmtId="0" fontId="0" fillId="0" borderId="35" xfId="0" applyBorder="1" applyAlignment="1" applyProtection="1">
      <alignment vertical="center"/>
    </xf>
    <xf numFmtId="0" fontId="0" fillId="0" borderId="0" xfId="0" applyBorder="1" applyAlignment="1" applyProtection="1">
      <alignment vertical="center"/>
    </xf>
    <xf numFmtId="0" fontId="0" fillId="41" borderId="35" xfId="0" applyFill="1" applyBorder="1" applyAlignment="1" applyProtection="1">
      <alignment vertical="center"/>
    </xf>
    <xf numFmtId="0" fontId="0" fillId="41" borderId="0" xfId="0" applyFill="1"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5" fillId="42" borderId="31" xfId="0" applyFont="1" applyFill="1" applyBorder="1" applyAlignment="1" applyProtection="1">
      <alignment wrapText="1"/>
    </xf>
    <xf numFmtId="0" fontId="0" fillId="12" borderId="15" xfId="19" applyFont="1" applyBorder="1" applyAlignment="1" applyProtection="1">
      <alignment horizontal="center" vertical="center"/>
      <protection locked="0"/>
    </xf>
    <xf numFmtId="0" fontId="0" fillId="39" borderId="34" xfId="0" applyFill="1" applyBorder="1" applyAlignment="1" applyProtection="1">
      <alignment vertical="center"/>
    </xf>
    <xf numFmtId="0" fontId="0" fillId="39" borderId="35" xfId="0" applyFill="1" applyBorder="1" applyAlignment="1" applyProtection="1">
      <alignment vertical="center"/>
    </xf>
    <xf numFmtId="0" fontId="0" fillId="39" borderId="0" xfId="0" applyFill="1" applyBorder="1" applyAlignment="1" applyProtection="1">
      <alignment vertical="center"/>
    </xf>
    <xf numFmtId="0" fontId="0" fillId="0" borderId="25" xfId="0" applyFill="1" applyBorder="1" applyAlignment="1" applyProtection="1">
      <alignment vertical="center"/>
    </xf>
    <xf numFmtId="0" fontId="5" fillId="0" borderId="0" xfId="0" applyFont="1" applyFill="1" applyAlignment="1" applyProtection="1">
      <alignment vertical="center"/>
    </xf>
    <xf numFmtId="0" fontId="6" fillId="2" borderId="15" xfId="19" applyFont="1" applyFill="1" applyBorder="1" applyAlignment="1" applyProtection="1">
      <alignment horizontal="center" vertical="center"/>
      <protection locked="0"/>
    </xf>
    <xf numFmtId="0" fontId="36" fillId="38" borderId="0" xfId="20" applyFont="1" applyFill="1" applyBorder="1" applyAlignment="1" applyProtection="1">
      <alignment horizontal="center" vertical="center"/>
    </xf>
    <xf numFmtId="0" fontId="38" fillId="37" borderId="38" xfId="45" applyNumberFormat="1" applyFont="1" applyFill="1" applyBorder="1" applyAlignment="1" applyProtection="1">
      <alignment vertical="center" wrapText="1"/>
    </xf>
    <xf numFmtId="0" fontId="38" fillId="37" borderId="39" xfId="45" applyNumberFormat="1" applyFont="1" applyFill="1" applyBorder="1" applyAlignment="1" applyProtection="1">
      <alignment vertical="center" wrapText="1"/>
    </xf>
    <xf numFmtId="0" fontId="38" fillId="37" borderId="39" xfId="45" applyNumberFormat="1" applyFont="1" applyFill="1" applyBorder="1" applyAlignment="1" applyProtection="1">
      <alignment horizontal="left" vertical="center" wrapText="1"/>
    </xf>
    <xf numFmtId="0" fontId="38" fillId="37" borderId="40" xfId="45" applyNumberFormat="1" applyFont="1" applyFill="1" applyBorder="1" applyAlignment="1" applyProtection="1">
      <alignment horizontal="left" vertical="center" wrapText="1"/>
    </xf>
    <xf numFmtId="0" fontId="38" fillId="37" borderId="15" xfId="20" applyFont="1" applyFill="1" applyBorder="1" applyAlignment="1">
      <alignment horizontal="center" vertical="center"/>
    </xf>
    <xf numFmtId="3" fontId="38" fillId="37" borderId="2" xfId="0" applyNumberFormat="1" applyFont="1" applyFill="1" applyBorder="1" applyAlignment="1">
      <alignment horizontal="center" vertical="center"/>
    </xf>
    <xf numFmtId="3" fontId="38" fillId="37" borderId="21" xfId="0" applyNumberFormat="1" applyFont="1" applyFill="1" applyBorder="1" applyAlignment="1">
      <alignment horizontal="center" vertical="center"/>
    </xf>
    <xf numFmtId="3" fontId="38" fillId="37" borderId="0" xfId="0" applyNumberFormat="1" applyFont="1" applyFill="1" applyBorder="1" applyAlignment="1">
      <alignment horizontal="center" vertical="center"/>
    </xf>
    <xf numFmtId="0" fontId="38" fillId="37" borderId="0" xfId="0" applyFont="1" applyFill="1" applyBorder="1" applyAlignment="1">
      <alignment horizontal="left" vertical="center" wrapText="1"/>
    </xf>
    <xf numFmtId="0" fontId="38" fillId="37" borderId="2" xfId="0" applyFont="1" applyFill="1" applyBorder="1" applyAlignment="1">
      <alignment horizontal="center" vertical="center"/>
    </xf>
    <xf numFmtId="0" fontId="38" fillId="37" borderId="0" xfId="0" applyFont="1" applyFill="1" applyBorder="1" applyAlignment="1">
      <alignment horizontal="center" vertical="center"/>
    </xf>
    <xf numFmtId="0" fontId="38" fillId="37" borderId="21" xfId="0" applyFont="1" applyFill="1" applyBorder="1" applyAlignment="1">
      <alignment horizontal="center" vertical="center"/>
    </xf>
    <xf numFmtId="0" fontId="5" fillId="0" borderId="2" xfId="0" applyFont="1" applyBorder="1" applyAlignment="1">
      <alignment horizontal="center"/>
    </xf>
    <xf numFmtId="0" fontId="5" fillId="0" borderId="0" xfId="0" applyFont="1" applyBorder="1" applyAlignment="1">
      <alignment horizontal="center"/>
    </xf>
    <xf numFmtId="0" fontId="5" fillId="0" borderId="21" xfId="0" applyFont="1" applyBorder="1" applyAlignment="1">
      <alignment horizontal="center"/>
    </xf>
    <xf numFmtId="0" fontId="0" fillId="0" borderId="0" xfId="0" applyAlignment="1">
      <alignment wrapText="1"/>
    </xf>
    <xf numFmtId="0" fontId="0" fillId="0" borderId="15" xfId="0" applyBorder="1" applyAlignment="1">
      <alignment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cellXfs>
  <cellStyles count="50">
    <cellStyle name="20% - Accent1" xfId="19" builtinId="30" customBuiltin="1"/>
    <cellStyle name="20% - Accent1 2" xfId="47"/>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1 2" xfId="48"/>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9" builtinId="8"/>
    <cellStyle name="Input" xfId="10" builtinId="20" customBuiltin="1"/>
    <cellStyle name="Linked Cell" xfId="13" builtinId="24" customBuiltin="1"/>
    <cellStyle name="Neutral" xfId="9" builtinId="28" customBuiltin="1"/>
    <cellStyle name="Normal" xfId="0" builtinId="0"/>
    <cellStyle name="Normal 2" xfId="42"/>
    <cellStyle name="Normal 3" xfId="44"/>
    <cellStyle name="Normal 3 2" xfId="46"/>
    <cellStyle name="Normal_healthcare edit.xls" xfId="45"/>
    <cellStyle name="Note 2" xfId="43"/>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8">
    <dxf>
      <fill>
        <patternFill>
          <bgColor theme="5" tint="0.39994506668294322"/>
        </patternFill>
      </fill>
    </dxf>
    <dxf>
      <font>
        <color theme="4" tint="0.79998168889431442"/>
      </font>
    </dxf>
    <dxf>
      <fill>
        <patternFill>
          <bgColor theme="5" tint="0.39994506668294322"/>
        </patternFill>
      </fill>
    </dxf>
    <dxf>
      <fill>
        <patternFill>
          <bgColor theme="5" tint="0.39994506668294322"/>
        </patternFill>
      </fill>
    </dxf>
    <dxf>
      <fill>
        <patternFill>
          <bgColor theme="5" tint="0.39994506668294322"/>
        </patternFill>
      </fill>
    </dxf>
    <dxf>
      <font>
        <color theme="0"/>
      </font>
      <fill>
        <patternFill patternType="none">
          <bgColor auto="1"/>
        </patternFill>
      </fill>
      <border>
        <left/>
        <right/>
        <top/>
      </border>
    </dxf>
    <dxf>
      <font>
        <color theme="0"/>
      </font>
      <fill>
        <patternFill patternType="none">
          <bgColor auto="1"/>
        </patternFill>
      </fill>
      <border>
        <left/>
        <right/>
        <bottom/>
        <vertical/>
        <horizontal/>
      </border>
    </dxf>
    <dxf>
      <font>
        <color theme="0"/>
      </font>
      <fill>
        <patternFill patternType="none">
          <bgColor auto="1"/>
        </patternFill>
      </fill>
      <border>
        <left/>
        <right/>
        <top/>
      </border>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28584</xdr:rowOff>
    </xdr:from>
    <xdr:to>
      <xdr:col>15</xdr:col>
      <xdr:colOff>0</xdr:colOff>
      <xdr:row>40</xdr:row>
      <xdr:rowOff>140813</xdr:rowOff>
    </xdr:to>
    <xdr:sp macro="" textlink="">
      <xdr:nvSpPr>
        <xdr:cNvPr id="2" name="TextBox 1"/>
        <xdr:cNvSpPr txBox="1"/>
      </xdr:nvSpPr>
      <xdr:spPr>
        <a:xfrm>
          <a:off x="397565" y="2761845"/>
          <a:ext cx="8580783" cy="506522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900">
              <a:solidFill>
                <a:schemeClr val="dk1"/>
              </a:solidFill>
              <a:effectLst/>
              <a:latin typeface="Arial" panose="020B0604020202020204" pitchFamily="34" charset="0"/>
              <a:ea typeface="+mn-ea"/>
              <a:cs typeface="Arial" panose="020B0604020202020204" pitchFamily="34" charset="0"/>
            </a:rPr>
            <a:t>The Green Star sustainability rating system for buildings (“Green Star”) and the Green Star - Design &amp; As Built rating tool v1 (“Green Star – Design &amp; As Built”) have been developed by the Green Building Council of Australia (“GBCA”).  Green Star - Design &amp; As Built evaluates sustainability outcomes for the design and construction of all types of buildings (with the exception of single detached dwellings). It is intended for use by stakeholders including project team members as a guide for green and sustainable existing building operations. As with all Green Star rating tools, Green Star - Design &amp; As Built may be subject to further development in the future. </a:t>
          </a:r>
        </a:p>
        <a:p>
          <a:endParaRPr lang="en-AU" sz="900">
            <a:effectLst/>
            <a:latin typeface="Arial" panose="020B0604020202020204" pitchFamily="34" charset="0"/>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have been developed with the assistance and participation of representatives from many organisations. The GBCA authorises you to view and use Green Star - Design &amp; As Built for your individual use only. In exchange for this authorisation, you agree that the GBCA retains all copyright and other proprietary rights contained in and in relation to Green Star - Design &amp; As Built and agree not to sell, modify, or use for another purpose all or any part of the tool or to reproduce, display or distribute the tool in any way for any public or commercial purpose, including display on a website or in a networked environment. Unauthorised use of Green Star and/or Green Star - Design &amp; As Built will violate copyright and other laws, and is prohibited. All text, graphics, layout and other elements of content contained in Green Star and its rating tools are owned by the GBCA and are protected by copyright, trade mark and other laws.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Design &amp; As Built, or for any injuries, losses or damages (including, without limitation, equitable relief and economic loss) arising out of such use or reliance.</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Green Star and Green Star - Design &amp; As Built are no substitute for professional advice.  You should seek your own professional and other appropriate advice on the matters addressed by them.</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Design &amp; As Built.</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GBCA does not endorse any self-assessed Green Star rating achieved by the use of Green Star – Design &amp; As Built. The GBCA offers a formal certification process for 4 Star ratings and above; this service provides for independent third-party review of points claimed to ensure all points can be demonstrated to be achieved by the provision of the necessary documentary evidence.  The use of Green Star - Design &amp; As Built without formal certification by the GBCA does not entitle the user or any other party to promote the Green Star rating claimed to have been achieved.</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The application of Green Star - Design &amp; As Built to the design and construction of all types of buildings (with the exception of single detached dwellings) is encouraged to assess and improve their sustainability outcomes. However, formal recognition of the Green Star rating – and the right to promote same – requires undertaking the formal certification process offered by the GBCA.</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You are only authorised to proceed to use Green Star and Green Star - Design &amp; As Built on this basis.</a:t>
          </a:r>
          <a:endParaRPr lang="en-AU" sz="900">
            <a:effectLst/>
            <a:latin typeface="Arial" panose="020B0604020202020204" pitchFamily="34" charset="0"/>
            <a:cs typeface="Arial" panose="020B0604020202020204" pitchFamily="34" charset="0"/>
          </a:endParaRPr>
        </a:p>
        <a:p>
          <a:endParaRPr lang="en-AU" sz="900">
            <a:solidFill>
              <a:schemeClr val="dk1"/>
            </a:solidFill>
            <a:effectLst/>
            <a:latin typeface="Arial" panose="020B0604020202020204" pitchFamily="34" charset="0"/>
            <a:ea typeface="+mn-ea"/>
            <a:cs typeface="Arial" panose="020B0604020202020204" pitchFamily="34" charset="0"/>
          </a:endParaRPr>
        </a:p>
        <a:p>
          <a:r>
            <a:rPr lang="en-AU" sz="900">
              <a:solidFill>
                <a:schemeClr val="dk1"/>
              </a:solidFill>
              <a:effectLst/>
              <a:latin typeface="Arial" panose="020B0604020202020204" pitchFamily="34" charset="0"/>
              <a:ea typeface="+mn-ea"/>
              <a:cs typeface="Arial" panose="020B0604020202020204" pitchFamily="34" charset="0"/>
            </a:rPr>
            <a:t>All rights reserved.</a:t>
          </a:r>
          <a:endParaRPr lang="en-AU" sz="900">
            <a:effectLst/>
            <a:latin typeface="Arial" panose="020B0604020202020204" pitchFamily="34" charset="0"/>
            <a:cs typeface="Arial" panose="020B0604020202020204" pitchFamily="34" charset="0"/>
          </a:endParaRPr>
        </a:p>
      </xdr:txBody>
    </xdr:sp>
    <xdr:clientData/>
  </xdr:twoCellAnchor>
  <xdr:oneCellAnchor>
    <xdr:from>
      <xdr:col>1</xdr:col>
      <xdr:colOff>69160</xdr:colOff>
      <xdr:row>1</xdr:row>
      <xdr:rowOff>38100</xdr:rowOff>
    </xdr:from>
    <xdr:ext cx="8420100" cy="2105025"/>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228600"/>
          <a:ext cx="8420100" cy="21050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1</xdr:row>
      <xdr:rowOff>47625</xdr:rowOff>
    </xdr:from>
    <xdr:ext cx="8420100" cy="2105025"/>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228600"/>
          <a:ext cx="8420100" cy="2105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4</xdr:col>
      <xdr:colOff>132830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4" cy="2107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4</xdr:col>
      <xdr:colOff>653906</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2" y="180975"/>
          <a:ext cx="8429105" cy="21072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134511</xdr:colOff>
      <xdr:row>2</xdr:row>
      <xdr:rowOff>789464</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0975"/>
          <a:ext cx="8430786" cy="2103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5</xdr:col>
      <xdr:colOff>0</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5" cy="2107276"/>
        </a:xfrm>
        <a:prstGeom prst="rect">
          <a:avLst/>
        </a:prstGeom>
      </xdr:spPr>
    </xdr:pic>
    <xdr:clientData/>
  </xdr:twoCellAnchor>
  <xdr:twoCellAnchor>
    <xdr:from>
      <xdr:col>5</xdr:col>
      <xdr:colOff>466725</xdr:colOff>
      <xdr:row>27</xdr:row>
      <xdr:rowOff>209550</xdr:rowOff>
    </xdr:from>
    <xdr:to>
      <xdr:col>6</xdr:col>
      <xdr:colOff>171450</xdr:colOff>
      <xdr:row>29</xdr:row>
      <xdr:rowOff>209550</xdr:rowOff>
    </xdr:to>
    <xdr:cxnSp macro="">
      <xdr:nvCxnSpPr>
        <xdr:cNvPr id="6" name="Straight Arrow Connector 5"/>
        <xdr:cNvCxnSpPr/>
      </xdr:nvCxnSpPr>
      <xdr:spPr>
        <a:xfrm flipH="1">
          <a:off x="8982075" y="8048625"/>
          <a:ext cx="314325" cy="457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6</xdr:col>
      <xdr:colOff>1066281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0975"/>
          <a:ext cx="8429105" cy="21072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9</xdr:col>
      <xdr:colOff>94731</xdr:colOff>
      <xdr:row>2</xdr:row>
      <xdr:rowOff>792826</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180975"/>
          <a:ext cx="8429105" cy="21072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ol%20Devt%20&amp;%20Review/GS%20Design%20&amp;%20As%20Built/02.%20Next%20Release/03.%20Submission%20Guidelines/Greenhouse%20Gas%20Emissions%20-%20BASIX%20update/Greenhouse%20Gas%20Emssions%20Calculator%20v1_201501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eenhouse%20Gas%20Emissions%20Calculator_release%202_0704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B BASIX Path"/>
      <sheetName val="15.C NABERS Energy Path"/>
      <sheetName val="15.D Modelled Path"/>
      <sheetName val="Multiple Path Calcs"/>
      <sheetName val="Synthetic GHG"/>
      <sheetName val="Reference"/>
    </sheetNames>
    <sheetDataSet>
      <sheetData sheetId="0" refreshError="1"/>
      <sheetData sheetId="1" refreshError="1"/>
      <sheetData sheetId="2" refreshError="1"/>
      <sheetData sheetId="3">
        <row r="11">
          <cell r="D11" t="str">
            <v>Yes</v>
          </cell>
        </row>
      </sheetData>
      <sheetData sheetId="4" refreshError="1"/>
      <sheetData sheetId="5" refreshError="1"/>
      <sheetData sheetId="6">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7" refreshError="1"/>
      <sheetData sheetId="8" refreshError="1"/>
      <sheetData sheetId="9">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row r="76">
          <cell r="B76">
            <v>8</v>
          </cell>
        </row>
        <row r="77">
          <cell r="B77">
            <v>9</v>
          </cell>
        </row>
        <row r="78">
          <cell r="B78">
            <v>10</v>
          </cell>
        </row>
        <row r="79">
          <cell r="B79">
            <v>11</v>
          </cell>
        </row>
        <row r="80">
          <cell r="B80">
            <v>14</v>
          </cell>
        </row>
        <row r="81">
          <cell r="B81">
            <v>15</v>
          </cell>
        </row>
        <row r="82">
          <cell r="B82">
            <v>17</v>
          </cell>
        </row>
        <row r="83">
          <cell r="B83">
            <v>18</v>
          </cell>
        </row>
        <row r="84">
          <cell r="B84">
            <v>19</v>
          </cell>
        </row>
        <row r="85">
          <cell r="B85">
            <v>20</v>
          </cell>
        </row>
        <row r="86">
          <cell r="B86">
            <v>24</v>
          </cell>
        </row>
        <row r="87">
          <cell r="B87">
            <v>25</v>
          </cell>
        </row>
        <row r="88">
          <cell r="B88">
            <v>27</v>
          </cell>
        </row>
        <row r="89">
          <cell r="B89">
            <v>28</v>
          </cell>
        </row>
        <row r="90">
          <cell r="B90">
            <v>46</v>
          </cell>
        </row>
        <row r="91">
          <cell r="B91">
            <v>48</v>
          </cell>
        </row>
        <row r="92">
          <cell r="B92">
            <v>50</v>
          </cell>
        </row>
        <row r="93">
          <cell r="B93">
            <v>56</v>
          </cell>
        </row>
        <row r="94">
          <cell r="B94">
            <v>65</v>
          </cell>
        </row>
        <row r="95">
          <cell r="B95">
            <v>66</v>
          </cell>
        </row>
        <row r="96">
          <cell r="B96">
            <v>69</v>
          </cell>
        </row>
        <row r="100">
          <cell r="B100">
            <v>1</v>
          </cell>
        </row>
        <row r="101">
          <cell r="B101">
            <v>2</v>
          </cell>
        </row>
        <row r="102">
          <cell r="B102">
            <v>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C NABERS Energy Path"/>
      <sheetName val="15.D Modelled Path"/>
      <sheetName val="Multiple Path Calcs"/>
      <sheetName val="Synthetic GHG"/>
      <sheetName val="Reference"/>
    </sheetNames>
    <sheetDataSet>
      <sheetData sheetId="0"/>
      <sheetData sheetId="1"/>
      <sheetData sheetId="2"/>
      <sheetData sheetId="3"/>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sheetData sheetId="7"/>
      <sheetData sheetId="8">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asix.nsw.gov.au/basixcms/images/Energy_target_by_postcode.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S18"/>
  <sheetViews>
    <sheetView showGridLines="0" showRowColHeaders="0" tabSelected="1" zoomScale="115" zoomScaleNormal="115" workbookViewId="0">
      <selection activeCell="B13" sqref="B13"/>
    </sheetView>
  </sheetViews>
  <sheetFormatPr defaultRowHeight="15" x14ac:dyDescent="0.25"/>
  <cols>
    <col min="1" max="1" width="3.42578125" style="20" customWidth="1"/>
    <col min="2" max="16384" width="9.140625" style="20"/>
  </cols>
  <sheetData>
    <row r="11" spans="2:19" x14ac:dyDescent="0.25">
      <c r="P11" s="21"/>
      <c r="Q11" s="21"/>
      <c r="R11" s="21"/>
      <c r="S11" s="21"/>
    </row>
    <row r="12" spans="2:19" ht="19.5" customHeight="1" x14ac:dyDescent="0.25">
      <c r="P12" s="21"/>
      <c r="Q12" s="21"/>
      <c r="R12" s="21"/>
      <c r="S12" s="21"/>
    </row>
    <row r="13" spans="2:19" ht="30" customHeight="1" x14ac:dyDescent="0.25">
      <c r="B13" s="137" t="s">
        <v>291</v>
      </c>
      <c r="C13" s="23"/>
      <c r="D13" s="23"/>
      <c r="E13" s="23"/>
      <c r="F13" s="23"/>
      <c r="G13" s="23"/>
      <c r="H13" s="23"/>
      <c r="I13" s="23"/>
      <c r="J13" s="23"/>
      <c r="K13" s="23"/>
      <c r="L13" s="23"/>
      <c r="M13" s="23"/>
      <c r="N13" s="23"/>
      <c r="O13" s="23"/>
      <c r="P13" s="22"/>
      <c r="Q13" s="22"/>
      <c r="R13" s="22"/>
      <c r="S13" s="21"/>
    </row>
    <row r="14" spans="2:19" x14ac:dyDescent="0.25">
      <c r="P14" s="21"/>
      <c r="Q14" s="21"/>
      <c r="R14" s="21"/>
      <c r="S14" s="21"/>
    </row>
    <row r="15" spans="2:19" x14ac:dyDescent="0.25">
      <c r="P15" s="21"/>
      <c r="Q15" s="21"/>
      <c r="R15" s="21"/>
      <c r="S15" s="21"/>
    </row>
    <row r="16" spans="2:19" x14ac:dyDescent="0.25">
      <c r="P16" s="21"/>
      <c r="Q16" s="21"/>
      <c r="R16" s="21"/>
      <c r="S16" s="21"/>
    </row>
    <row r="17" spans="16:19" x14ac:dyDescent="0.25">
      <c r="P17" s="21"/>
      <c r="Q17" s="21"/>
      <c r="R17" s="21"/>
      <c r="S17" s="21"/>
    </row>
    <row r="18" spans="16:19" x14ac:dyDescent="0.25">
      <c r="P18" s="21"/>
      <c r="Q18" s="21"/>
      <c r="R18" s="21"/>
      <c r="S18" s="21"/>
    </row>
  </sheetData>
  <sheetProtection password="E6B1" sheet="1" objects="1" scenarios="1" selectLockedCells="1" selectUnlockedCells="1"/>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2"/>
  <sheetViews>
    <sheetView workbookViewId="0">
      <pane ySplit="3" topLeftCell="A64" activePane="bottomLeft" state="frozen"/>
      <selection pane="bottomLeft" activeCell="D99" sqref="D99:G99"/>
    </sheetView>
  </sheetViews>
  <sheetFormatPr defaultRowHeight="12.75" x14ac:dyDescent="0.2"/>
  <cols>
    <col min="1" max="1" width="1.42578125" customWidth="1"/>
    <col min="2" max="2" width="7.5703125" customWidth="1"/>
    <col min="3" max="3" width="15.42578125" customWidth="1"/>
    <col min="4" max="23" width="5.28515625" customWidth="1"/>
    <col min="31" max="31" width="55.85546875" bestFit="1" customWidth="1"/>
    <col min="32" max="32" width="11.7109375" bestFit="1" customWidth="1"/>
  </cols>
  <sheetData>
    <row r="1" spans="2:32" ht="7.5" customHeight="1" x14ac:dyDescent="0.2"/>
    <row r="2" spans="2:32" x14ac:dyDescent="0.2">
      <c r="B2" s="260" t="s">
        <v>3</v>
      </c>
      <c r="C2" s="259" t="s">
        <v>14</v>
      </c>
      <c r="D2" s="259" t="s">
        <v>15</v>
      </c>
      <c r="E2" s="259"/>
      <c r="F2" s="259"/>
      <c r="G2" s="259"/>
      <c r="H2" s="259"/>
      <c r="I2" s="259"/>
      <c r="J2" s="259"/>
      <c r="K2" s="259"/>
      <c r="L2" s="259"/>
      <c r="M2" s="259"/>
      <c r="N2" s="259"/>
      <c r="O2" s="259"/>
      <c r="P2" s="259"/>
      <c r="Q2" s="259"/>
      <c r="R2" s="259"/>
      <c r="S2" s="259"/>
      <c r="T2" s="259"/>
      <c r="U2" s="259"/>
      <c r="V2" s="259"/>
      <c r="W2" s="259"/>
      <c r="AC2" t="s">
        <v>128</v>
      </c>
      <c r="AD2" t="s">
        <v>129</v>
      </c>
      <c r="AE2" t="s">
        <v>143</v>
      </c>
      <c r="AF2" t="s">
        <v>144</v>
      </c>
    </row>
    <row r="3" spans="2:32" x14ac:dyDescent="0.2">
      <c r="B3" s="260"/>
      <c r="C3" s="259"/>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63</v>
      </c>
      <c r="AB3" t="s">
        <v>120</v>
      </c>
      <c r="AC3">
        <v>1.05</v>
      </c>
      <c r="AD3">
        <f>64.13/1000</f>
        <v>6.4129999999999993E-2</v>
      </c>
      <c r="AE3" t="s">
        <v>139</v>
      </c>
      <c r="AF3">
        <v>0.09</v>
      </c>
    </row>
    <row r="4" spans="2:32" x14ac:dyDescent="0.2">
      <c r="B4" s="5">
        <v>1</v>
      </c>
      <c r="C4" t="s">
        <v>16</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64</v>
      </c>
      <c r="AB4" t="s">
        <v>121</v>
      </c>
      <c r="AC4">
        <v>1.05</v>
      </c>
      <c r="AD4">
        <f>64.13/1000</f>
        <v>6.4129999999999993E-2</v>
      </c>
      <c r="AE4" t="s">
        <v>140</v>
      </c>
      <c r="AF4">
        <v>0.23</v>
      </c>
    </row>
    <row r="5" spans="2:32" x14ac:dyDescent="0.2">
      <c r="B5" s="5">
        <v>2</v>
      </c>
      <c r="C5" t="s">
        <v>17</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132</v>
      </c>
      <c r="AB5" t="s">
        <v>122</v>
      </c>
      <c r="AC5">
        <v>0.77</v>
      </c>
      <c r="AD5">
        <f>51.33/1000</f>
        <v>5.1330000000000001E-2</v>
      </c>
      <c r="AE5" t="s">
        <v>141</v>
      </c>
      <c r="AF5">
        <v>0.16</v>
      </c>
    </row>
    <row r="6" spans="2:32" x14ac:dyDescent="0.2">
      <c r="B6" s="5">
        <v>3</v>
      </c>
      <c r="C6" t="s">
        <v>18</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376</v>
      </c>
      <c r="AB6" t="s">
        <v>127</v>
      </c>
      <c r="AC6">
        <v>0.95</v>
      </c>
      <c r="AD6">
        <f>60.03/1000</f>
        <v>6.003E-2</v>
      </c>
      <c r="AE6" t="s">
        <v>142</v>
      </c>
      <c r="AF6">
        <v>8.8999999999999999E-3</v>
      </c>
    </row>
    <row r="7" spans="2:32" x14ac:dyDescent="0.2">
      <c r="B7" s="5">
        <v>4</v>
      </c>
      <c r="C7" t="s">
        <v>19</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113</v>
      </c>
      <c r="AB7" t="s">
        <v>125</v>
      </c>
      <c r="AC7">
        <v>0.73</v>
      </c>
      <c r="AD7">
        <f>61.73/1000</f>
        <v>6.173E-2</v>
      </c>
    </row>
    <row r="8" spans="2:32" x14ac:dyDescent="0.2">
      <c r="B8" s="5">
        <v>5</v>
      </c>
      <c r="C8" t="s">
        <v>20</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115</v>
      </c>
      <c r="AB8" t="s">
        <v>126</v>
      </c>
      <c r="AC8">
        <v>0.22</v>
      </c>
      <c r="AD8">
        <f>51.33/1000</f>
        <v>5.1330000000000001E-2</v>
      </c>
    </row>
    <row r="9" spans="2:32" x14ac:dyDescent="0.2">
      <c r="B9" s="5">
        <v>6</v>
      </c>
      <c r="C9" t="s">
        <v>21</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85</v>
      </c>
      <c r="AB9" t="s">
        <v>124</v>
      </c>
      <c r="AC9">
        <v>1.32</v>
      </c>
      <c r="AD9">
        <f>55.23/1000</f>
        <v>5.5229999999999994E-2</v>
      </c>
    </row>
    <row r="10" spans="2:32" x14ac:dyDescent="0.2">
      <c r="B10" s="5">
        <v>7</v>
      </c>
      <c r="C10" t="s">
        <v>22</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223</v>
      </c>
      <c r="AB10" t="s">
        <v>123</v>
      </c>
      <c r="AC10">
        <v>0.84</v>
      </c>
      <c r="AD10">
        <f>55.33/1000</f>
        <v>5.5329999999999997E-2</v>
      </c>
    </row>
    <row r="11" spans="2:32" x14ac:dyDescent="0.2">
      <c r="B11" s="5">
        <v>8</v>
      </c>
      <c r="C11" t="s">
        <v>23</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224</v>
      </c>
    </row>
    <row r="12" spans="2:32" x14ac:dyDescent="0.2">
      <c r="B12" s="5">
        <v>9</v>
      </c>
      <c r="C12" t="s">
        <v>24</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225</v>
      </c>
    </row>
    <row r="13" spans="2:32" x14ac:dyDescent="0.2">
      <c r="B13" s="5">
        <v>10</v>
      </c>
      <c r="C13" t="s">
        <v>25</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
      <c r="B14" s="5">
        <v>11</v>
      </c>
      <c r="C14" t="s">
        <v>26</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
      <c r="B15" s="5">
        <v>12</v>
      </c>
      <c r="C15" t="s">
        <v>27</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
      <c r="B16" s="5">
        <v>13</v>
      </c>
      <c r="C16" t="s">
        <v>28</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
      <c r="B17" s="5">
        <v>14</v>
      </c>
      <c r="C17" t="s">
        <v>29</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
      <c r="B18" s="5">
        <v>15</v>
      </c>
      <c r="C18" t="s">
        <v>30</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
      <c r="B19" s="5">
        <v>16</v>
      </c>
      <c r="C19" t="s">
        <v>31</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
      <c r="B20" s="5">
        <v>17</v>
      </c>
      <c r="C20" t="s">
        <v>32</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
      <c r="B21" s="5">
        <v>18</v>
      </c>
      <c r="C21" t="s">
        <v>33</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
      <c r="B22" s="5">
        <v>19</v>
      </c>
      <c r="C22" t="s">
        <v>34</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
      <c r="B23" s="5">
        <v>20</v>
      </c>
      <c r="C23" t="s">
        <v>35</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241</v>
      </c>
    </row>
    <row r="24" spans="2:26" x14ac:dyDescent="0.2">
      <c r="B24" s="5">
        <v>21</v>
      </c>
      <c r="C24" t="s">
        <v>36</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8" t="s">
        <v>242</v>
      </c>
    </row>
    <row r="25" spans="2:26" x14ac:dyDescent="0.2">
      <c r="B25" s="5">
        <v>22</v>
      </c>
      <c r="C25" t="s">
        <v>37</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
      <c r="B26" s="5">
        <v>23</v>
      </c>
      <c r="C26" t="s">
        <v>38</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
      <c r="B27" s="5">
        <v>24</v>
      </c>
      <c r="C27" s="16" t="s">
        <v>162</v>
      </c>
      <c r="D27" s="16">
        <v>957</v>
      </c>
      <c r="E27" s="16">
        <v>792</v>
      </c>
      <c r="F27" s="16">
        <v>657</v>
      </c>
      <c r="G27" s="16">
        <v>547</v>
      </c>
      <c r="H27" s="16">
        <v>458</v>
      </c>
      <c r="I27" s="16">
        <v>387</v>
      </c>
      <c r="J27" s="16">
        <v>330</v>
      </c>
      <c r="K27" s="16">
        <v>284</v>
      </c>
      <c r="L27" s="16">
        <v>247</v>
      </c>
      <c r="M27" s="16">
        <v>216</v>
      </c>
      <c r="N27" s="16">
        <v>189</v>
      </c>
      <c r="O27" s="16">
        <v>165</v>
      </c>
      <c r="P27" s="16">
        <v>142</v>
      </c>
      <c r="Q27" s="16">
        <v>120</v>
      </c>
      <c r="R27" s="16">
        <v>99</v>
      </c>
      <c r="S27" s="16">
        <v>77</v>
      </c>
      <c r="T27" s="16">
        <v>56</v>
      </c>
      <c r="U27" s="16">
        <v>35</v>
      </c>
      <c r="V27" s="16">
        <v>17</v>
      </c>
      <c r="W27" s="16">
        <v>2</v>
      </c>
      <c r="Z27" t="s">
        <v>67</v>
      </c>
    </row>
    <row r="28" spans="2:26" x14ac:dyDescent="0.2">
      <c r="B28" s="5">
        <v>25</v>
      </c>
      <c r="C28" s="16" t="s">
        <v>163</v>
      </c>
      <c r="D28" s="16">
        <v>1666</v>
      </c>
      <c r="E28" s="16">
        <v>1404</v>
      </c>
      <c r="F28" s="16">
        <v>1188</v>
      </c>
      <c r="G28" s="16">
        <v>1012</v>
      </c>
      <c r="H28" s="16">
        <v>870</v>
      </c>
      <c r="I28" s="16">
        <v>753</v>
      </c>
      <c r="J28" s="16">
        <v>658</v>
      </c>
      <c r="K28" s="16">
        <v>580</v>
      </c>
      <c r="L28" s="16">
        <v>513</v>
      </c>
      <c r="M28" s="16">
        <v>454</v>
      </c>
      <c r="N28" s="16">
        <v>401</v>
      </c>
      <c r="O28" s="16">
        <v>352</v>
      </c>
      <c r="P28" s="16">
        <v>303</v>
      </c>
      <c r="Q28" s="16">
        <v>255</v>
      </c>
      <c r="R28" s="16">
        <v>208</v>
      </c>
      <c r="S28" s="16">
        <v>160</v>
      </c>
      <c r="T28" s="16">
        <v>114</v>
      </c>
      <c r="U28" s="16">
        <v>71</v>
      </c>
      <c r="V28" s="16">
        <v>33</v>
      </c>
      <c r="W28" s="16">
        <v>1</v>
      </c>
      <c r="Z28" t="s">
        <v>68</v>
      </c>
    </row>
    <row r="29" spans="2:26" x14ac:dyDescent="0.2">
      <c r="B29" s="5">
        <v>26</v>
      </c>
      <c r="C29" s="16" t="s">
        <v>164</v>
      </c>
      <c r="D29" s="16">
        <v>876</v>
      </c>
      <c r="E29" s="16">
        <v>723</v>
      </c>
      <c r="F29" s="16">
        <v>598</v>
      </c>
      <c r="G29" s="16">
        <v>498</v>
      </c>
      <c r="H29" s="16">
        <v>417</v>
      </c>
      <c r="I29" s="16">
        <v>354</v>
      </c>
      <c r="J29" s="16">
        <v>303</v>
      </c>
      <c r="K29" s="16">
        <v>262</v>
      </c>
      <c r="L29" s="16">
        <v>229</v>
      </c>
      <c r="M29" s="16">
        <v>202</v>
      </c>
      <c r="N29" s="16">
        <v>177</v>
      </c>
      <c r="O29" s="16">
        <v>155</v>
      </c>
      <c r="P29" s="16">
        <v>134</v>
      </c>
      <c r="Q29" s="16">
        <v>113</v>
      </c>
      <c r="R29" s="16">
        <v>92</v>
      </c>
      <c r="S29" s="16">
        <v>71</v>
      </c>
      <c r="T29" s="16">
        <v>51</v>
      </c>
      <c r="U29" s="16">
        <v>31</v>
      </c>
      <c r="V29" s="16">
        <v>14</v>
      </c>
      <c r="W29" s="16">
        <v>0</v>
      </c>
      <c r="Z29" t="s">
        <v>378</v>
      </c>
    </row>
    <row r="30" spans="2:26" x14ac:dyDescent="0.2">
      <c r="B30" s="5">
        <v>27</v>
      </c>
      <c r="C30" s="16" t="s">
        <v>165</v>
      </c>
      <c r="D30" s="16">
        <v>660</v>
      </c>
      <c r="E30" s="16">
        <v>541</v>
      </c>
      <c r="F30" s="16">
        <v>444</v>
      </c>
      <c r="G30" s="16">
        <v>367</v>
      </c>
      <c r="H30" s="16">
        <v>305</v>
      </c>
      <c r="I30" s="16">
        <v>256</v>
      </c>
      <c r="J30" s="16">
        <v>218</v>
      </c>
      <c r="K30" s="16">
        <v>187</v>
      </c>
      <c r="L30" s="16">
        <v>163</v>
      </c>
      <c r="M30" s="16">
        <v>143</v>
      </c>
      <c r="N30" s="16">
        <v>126</v>
      </c>
      <c r="O30" s="16">
        <v>110</v>
      </c>
      <c r="P30" s="16">
        <v>96</v>
      </c>
      <c r="Q30" s="16">
        <v>81</v>
      </c>
      <c r="R30" s="16">
        <v>67</v>
      </c>
      <c r="S30" s="16">
        <v>53</v>
      </c>
      <c r="T30" s="16">
        <v>38</v>
      </c>
      <c r="U30" s="16">
        <v>25</v>
      </c>
      <c r="V30" s="16">
        <v>13</v>
      </c>
      <c r="W30" s="16">
        <v>3</v>
      </c>
    </row>
    <row r="31" spans="2:26" x14ac:dyDescent="0.2">
      <c r="B31" s="5">
        <v>28</v>
      </c>
      <c r="C31" s="16" t="s">
        <v>166</v>
      </c>
      <c r="D31" s="16">
        <v>555</v>
      </c>
      <c r="E31" s="16">
        <v>450</v>
      </c>
      <c r="F31" s="16">
        <v>365</v>
      </c>
      <c r="G31" s="16">
        <v>298</v>
      </c>
      <c r="H31" s="16">
        <v>245</v>
      </c>
      <c r="I31" s="16">
        <v>203</v>
      </c>
      <c r="J31" s="16">
        <v>171</v>
      </c>
      <c r="K31" s="16">
        <v>146</v>
      </c>
      <c r="L31" s="16">
        <v>127</v>
      </c>
      <c r="M31" s="16">
        <v>112</v>
      </c>
      <c r="N31" s="16">
        <v>99</v>
      </c>
      <c r="O31" s="16">
        <v>87</v>
      </c>
      <c r="P31" s="16">
        <v>77</v>
      </c>
      <c r="Q31" s="16">
        <v>66</v>
      </c>
      <c r="R31" s="16">
        <v>55</v>
      </c>
      <c r="S31" s="16">
        <v>44</v>
      </c>
      <c r="T31" s="16">
        <v>34</v>
      </c>
      <c r="U31" s="16">
        <v>23</v>
      </c>
      <c r="V31" s="16">
        <v>14</v>
      </c>
      <c r="W31" s="16">
        <v>7</v>
      </c>
    </row>
    <row r="32" spans="2:26" x14ac:dyDescent="0.2">
      <c r="B32" s="5">
        <v>29</v>
      </c>
      <c r="C32" s="16" t="s">
        <v>167</v>
      </c>
      <c r="D32" s="16">
        <v>830</v>
      </c>
      <c r="E32" s="16">
        <v>743</v>
      </c>
      <c r="F32" s="16">
        <v>671</v>
      </c>
      <c r="G32" s="16">
        <v>611</v>
      </c>
      <c r="H32" s="16">
        <v>560</v>
      </c>
      <c r="I32" s="16">
        <v>517</v>
      </c>
      <c r="J32" s="16">
        <v>479</v>
      </c>
      <c r="K32" s="16">
        <v>445</v>
      </c>
      <c r="L32" s="16">
        <v>414</v>
      </c>
      <c r="M32" s="16">
        <v>384</v>
      </c>
      <c r="N32" s="16">
        <v>355</v>
      </c>
      <c r="O32" s="16">
        <v>326</v>
      </c>
      <c r="P32" s="16">
        <v>296</v>
      </c>
      <c r="Q32" s="16">
        <v>266</v>
      </c>
      <c r="R32" s="16">
        <v>237</v>
      </c>
      <c r="S32" s="16">
        <v>207</v>
      </c>
      <c r="T32" s="16">
        <v>179</v>
      </c>
      <c r="U32" s="16">
        <v>153</v>
      </c>
      <c r="V32" s="16">
        <v>130</v>
      </c>
      <c r="W32" s="16">
        <v>111</v>
      </c>
    </row>
    <row r="33" spans="2:23" x14ac:dyDescent="0.2">
      <c r="B33" s="5">
        <v>30</v>
      </c>
      <c r="C33" s="16" t="s">
        <v>168</v>
      </c>
      <c r="D33" s="16">
        <v>1229</v>
      </c>
      <c r="E33" s="16">
        <v>1071</v>
      </c>
      <c r="F33" s="16">
        <v>943</v>
      </c>
      <c r="G33" s="16">
        <v>839</v>
      </c>
      <c r="H33" s="16">
        <v>754</v>
      </c>
      <c r="I33" s="16">
        <v>685</v>
      </c>
      <c r="J33" s="16">
        <v>626</v>
      </c>
      <c r="K33" s="16">
        <v>576</v>
      </c>
      <c r="L33" s="16">
        <v>530</v>
      </c>
      <c r="M33" s="16">
        <v>488</v>
      </c>
      <c r="N33" s="16">
        <v>447</v>
      </c>
      <c r="O33" s="16">
        <v>406</v>
      </c>
      <c r="P33" s="16">
        <v>364</v>
      </c>
      <c r="Q33" s="16">
        <v>321</v>
      </c>
      <c r="R33" s="16">
        <v>278</v>
      </c>
      <c r="S33" s="16">
        <v>234</v>
      </c>
      <c r="T33" s="16">
        <v>192</v>
      </c>
      <c r="U33" s="16">
        <v>154</v>
      </c>
      <c r="V33" s="16">
        <v>121</v>
      </c>
      <c r="W33" s="16">
        <v>95</v>
      </c>
    </row>
    <row r="34" spans="2:23" x14ac:dyDescent="0.2">
      <c r="B34" s="5">
        <v>31</v>
      </c>
      <c r="C34" s="16" t="s">
        <v>169</v>
      </c>
      <c r="D34" s="16">
        <v>427</v>
      </c>
      <c r="E34" s="16">
        <v>391</v>
      </c>
      <c r="F34" s="16">
        <v>359</v>
      </c>
      <c r="G34" s="16">
        <v>330</v>
      </c>
      <c r="H34" s="16">
        <v>305</v>
      </c>
      <c r="I34" s="16">
        <v>282</v>
      </c>
      <c r="J34" s="16">
        <v>261</v>
      </c>
      <c r="K34" s="16">
        <v>242</v>
      </c>
      <c r="L34" s="16">
        <v>224</v>
      </c>
      <c r="M34" s="16">
        <v>207</v>
      </c>
      <c r="N34" s="16">
        <v>191</v>
      </c>
      <c r="O34" s="16">
        <v>176</v>
      </c>
      <c r="P34" s="16">
        <v>160</v>
      </c>
      <c r="Q34" s="16">
        <v>146</v>
      </c>
      <c r="R34" s="16">
        <v>132</v>
      </c>
      <c r="S34" s="16">
        <v>118</v>
      </c>
      <c r="T34" s="16">
        <v>105</v>
      </c>
      <c r="U34" s="16">
        <v>93</v>
      </c>
      <c r="V34" s="16">
        <v>81</v>
      </c>
      <c r="W34" s="16">
        <v>71</v>
      </c>
    </row>
    <row r="35" spans="2:23" x14ac:dyDescent="0.2">
      <c r="B35" s="5">
        <v>32</v>
      </c>
      <c r="C35" s="16" t="s">
        <v>170</v>
      </c>
      <c r="D35" s="16">
        <v>330</v>
      </c>
      <c r="E35" s="16">
        <v>302</v>
      </c>
      <c r="F35" s="16">
        <v>276</v>
      </c>
      <c r="G35" s="16">
        <v>253</v>
      </c>
      <c r="H35" s="16">
        <v>232</v>
      </c>
      <c r="I35" s="16">
        <v>214</v>
      </c>
      <c r="J35" s="16">
        <v>197</v>
      </c>
      <c r="K35" s="16">
        <v>181</v>
      </c>
      <c r="L35" s="16">
        <v>167</v>
      </c>
      <c r="M35" s="16">
        <v>153</v>
      </c>
      <c r="N35" s="16">
        <v>140</v>
      </c>
      <c r="O35" s="16">
        <v>128</v>
      </c>
      <c r="P35" s="16">
        <v>117</v>
      </c>
      <c r="Q35" s="16">
        <v>105</v>
      </c>
      <c r="R35" s="16">
        <v>94</v>
      </c>
      <c r="S35" s="16">
        <v>84</v>
      </c>
      <c r="T35" s="16">
        <v>74</v>
      </c>
      <c r="U35" s="16">
        <v>64</v>
      </c>
      <c r="V35" s="16">
        <v>56</v>
      </c>
      <c r="W35" s="16">
        <v>48</v>
      </c>
    </row>
    <row r="36" spans="2:23" x14ac:dyDescent="0.2">
      <c r="B36" s="5">
        <v>33</v>
      </c>
      <c r="C36" s="16" t="s">
        <v>171</v>
      </c>
      <c r="D36" s="16">
        <v>732</v>
      </c>
      <c r="E36" s="16">
        <v>652</v>
      </c>
      <c r="F36" s="16">
        <v>585</v>
      </c>
      <c r="G36" s="16">
        <v>531</v>
      </c>
      <c r="H36" s="16">
        <v>486</v>
      </c>
      <c r="I36" s="16">
        <v>448</v>
      </c>
      <c r="J36" s="16">
        <v>416</v>
      </c>
      <c r="K36" s="16">
        <v>387</v>
      </c>
      <c r="L36" s="16">
        <v>360</v>
      </c>
      <c r="M36" s="16">
        <v>335</v>
      </c>
      <c r="N36" s="16">
        <v>310</v>
      </c>
      <c r="O36" s="16">
        <v>285</v>
      </c>
      <c r="P36" s="16">
        <v>260</v>
      </c>
      <c r="Q36" s="16">
        <v>234</v>
      </c>
      <c r="R36" s="16">
        <v>208</v>
      </c>
      <c r="S36" s="16">
        <v>182</v>
      </c>
      <c r="T36" s="16">
        <v>157</v>
      </c>
      <c r="U36" s="16">
        <v>134</v>
      </c>
      <c r="V36" s="16">
        <v>115</v>
      </c>
      <c r="W36" s="16">
        <v>99</v>
      </c>
    </row>
    <row r="37" spans="2:23" x14ac:dyDescent="0.2">
      <c r="B37" s="5">
        <v>34</v>
      </c>
      <c r="C37" s="16" t="s">
        <v>172</v>
      </c>
      <c r="D37" s="16">
        <v>511</v>
      </c>
      <c r="E37" s="16">
        <v>439</v>
      </c>
      <c r="F37" s="16">
        <v>379</v>
      </c>
      <c r="G37" s="16">
        <v>330</v>
      </c>
      <c r="H37" s="16">
        <v>290</v>
      </c>
      <c r="I37" s="16">
        <v>256</v>
      </c>
      <c r="J37" s="16">
        <v>228</v>
      </c>
      <c r="K37" s="16">
        <v>204</v>
      </c>
      <c r="L37" s="16">
        <v>184</v>
      </c>
      <c r="M37" s="16">
        <v>166</v>
      </c>
      <c r="N37" s="16">
        <v>149</v>
      </c>
      <c r="O37" s="16">
        <v>134</v>
      </c>
      <c r="P37" s="16">
        <v>119</v>
      </c>
      <c r="Q37" s="16">
        <v>104</v>
      </c>
      <c r="R37" s="16">
        <v>89</v>
      </c>
      <c r="S37" s="16">
        <v>74</v>
      </c>
      <c r="T37" s="16">
        <v>60</v>
      </c>
      <c r="U37" s="16">
        <v>47</v>
      </c>
      <c r="V37" s="16">
        <v>35</v>
      </c>
      <c r="W37" s="16">
        <v>25</v>
      </c>
    </row>
    <row r="38" spans="2:23" x14ac:dyDescent="0.2">
      <c r="B38" s="5">
        <v>35</v>
      </c>
      <c r="C38" s="16" t="s">
        <v>173</v>
      </c>
      <c r="D38" s="16">
        <v>275</v>
      </c>
      <c r="E38" s="16">
        <v>248</v>
      </c>
      <c r="F38" s="16">
        <v>224</v>
      </c>
      <c r="G38" s="16">
        <v>202</v>
      </c>
      <c r="H38" s="16">
        <v>183</v>
      </c>
      <c r="I38" s="16">
        <v>165</v>
      </c>
      <c r="J38" s="16">
        <v>150</v>
      </c>
      <c r="K38" s="16">
        <v>136</v>
      </c>
      <c r="L38" s="16">
        <v>123</v>
      </c>
      <c r="M38" s="16">
        <v>112</v>
      </c>
      <c r="N38" s="16">
        <v>102</v>
      </c>
      <c r="O38" s="16">
        <v>92</v>
      </c>
      <c r="P38" s="16">
        <v>83</v>
      </c>
      <c r="Q38" s="16">
        <v>75</v>
      </c>
      <c r="R38" s="16">
        <v>68</v>
      </c>
      <c r="S38" s="16">
        <v>60</v>
      </c>
      <c r="T38" s="16">
        <v>53</v>
      </c>
      <c r="U38" s="16">
        <v>47</v>
      </c>
      <c r="V38" s="16">
        <v>40</v>
      </c>
      <c r="W38" s="16">
        <v>34</v>
      </c>
    </row>
    <row r="39" spans="2:23" x14ac:dyDescent="0.2">
      <c r="B39" s="5">
        <v>36</v>
      </c>
      <c r="C39" s="16" t="s">
        <v>174</v>
      </c>
      <c r="D39" s="16">
        <v>220</v>
      </c>
      <c r="E39" s="16">
        <v>191</v>
      </c>
      <c r="F39" s="16">
        <v>167</v>
      </c>
      <c r="G39" s="16">
        <v>146</v>
      </c>
      <c r="H39" s="16">
        <v>129</v>
      </c>
      <c r="I39" s="16">
        <v>114</v>
      </c>
      <c r="J39" s="16">
        <v>101</v>
      </c>
      <c r="K39" s="16">
        <v>90</v>
      </c>
      <c r="L39" s="16">
        <v>81</v>
      </c>
      <c r="M39" s="16">
        <v>73</v>
      </c>
      <c r="N39" s="16">
        <v>66</v>
      </c>
      <c r="O39" s="16">
        <v>59</v>
      </c>
      <c r="P39" s="16">
        <v>53</v>
      </c>
      <c r="Q39" s="16">
        <v>48</v>
      </c>
      <c r="R39" s="16">
        <v>42</v>
      </c>
      <c r="S39" s="16">
        <v>37</v>
      </c>
      <c r="T39" s="16">
        <v>32</v>
      </c>
      <c r="U39" s="16">
        <v>28</v>
      </c>
      <c r="V39" s="16">
        <v>23</v>
      </c>
      <c r="W39" s="16">
        <v>19</v>
      </c>
    </row>
    <row r="40" spans="2:23" x14ac:dyDescent="0.2">
      <c r="B40" s="5">
        <v>37</v>
      </c>
      <c r="C40" s="16" t="s">
        <v>175</v>
      </c>
      <c r="D40" s="16">
        <v>755</v>
      </c>
      <c r="E40" s="16">
        <v>649</v>
      </c>
      <c r="F40" s="16">
        <v>563</v>
      </c>
      <c r="G40" s="16">
        <v>492</v>
      </c>
      <c r="H40" s="16">
        <v>434</v>
      </c>
      <c r="I40" s="16">
        <v>387</v>
      </c>
      <c r="J40" s="16">
        <v>348</v>
      </c>
      <c r="K40" s="16">
        <v>315</v>
      </c>
      <c r="L40" s="16">
        <v>286</v>
      </c>
      <c r="M40" s="16">
        <v>259</v>
      </c>
      <c r="N40" s="16">
        <v>235</v>
      </c>
      <c r="O40" s="16">
        <v>211</v>
      </c>
      <c r="P40" s="16">
        <v>187</v>
      </c>
      <c r="Q40" s="16">
        <v>162</v>
      </c>
      <c r="R40" s="16">
        <v>138</v>
      </c>
      <c r="S40" s="16">
        <v>114</v>
      </c>
      <c r="T40" s="16">
        <v>90</v>
      </c>
      <c r="U40" s="16">
        <v>69</v>
      </c>
      <c r="V40" s="16">
        <v>50</v>
      </c>
      <c r="W40" s="16">
        <v>34</v>
      </c>
    </row>
    <row r="41" spans="2:23" x14ac:dyDescent="0.2">
      <c r="B41" s="5">
        <v>38</v>
      </c>
      <c r="C41" s="16" t="s">
        <v>176</v>
      </c>
      <c r="D41" s="16">
        <v>631</v>
      </c>
      <c r="E41" s="16">
        <v>545</v>
      </c>
      <c r="F41" s="16">
        <v>473</v>
      </c>
      <c r="G41" s="16">
        <v>414</v>
      </c>
      <c r="H41" s="16">
        <v>366</v>
      </c>
      <c r="I41" s="16">
        <v>325</v>
      </c>
      <c r="J41" s="16">
        <v>291</v>
      </c>
      <c r="K41" s="16">
        <v>262</v>
      </c>
      <c r="L41" s="16">
        <v>236</v>
      </c>
      <c r="M41" s="16">
        <v>213</v>
      </c>
      <c r="N41" s="16">
        <v>191</v>
      </c>
      <c r="O41" s="16">
        <v>170</v>
      </c>
      <c r="P41" s="16">
        <v>150</v>
      </c>
      <c r="Q41" s="16">
        <v>129</v>
      </c>
      <c r="R41" s="16">
        <v>109</v>
      </c>
      <c r="S41" s="16">
        <v>89</v>
      </c>
      <c r="T41" s="16">
        <v>70</v>
      </c>
      <c r="U41" s="16">
        <v>52</v>
      </c>
      <c r="V41" s="16">
        <v>36</v>
      </c>
      <c r="W41" s="16">
        <v>22</v>
      </c>
    </row>
    <row r="42" spans="2:23" x14ac:dyDescent="0.2">
      <c r="B42" s="5">
        <v>39</v>
      </c>
      <c r="C42" s="16" t="s">
        <v>177</v>
      </c>
      <c r="D42" s="16">
        <v>656</v>
      </c>
      <c r="E42" s="16">
        <v>560</v>
      </c>
      <c r="F42" s="16">
        <v>481</v>
      </c>
      <c r="G42" s="16">
        <v>417</v>
      </c>
      <c r="H42" s="16">
        <v>363</v>
      </c>
      <c r="I42" s="16">
        <v>320</v>
      </c>
      <c r="J42" s="16">
        <v>284</v>
      </c>
      <c r="K42" s="16">
        <v>253</v>
      </c>
      <c r="L42" s="16">
        <v>227</v>
      </c>
      <c r="M42" s="16">
        <v>205</v>
      </c>
      <c r="N42" s="16">
        <v>184</v>
      </c>
      <c r="O42" s="16">
        <v>164</v>
      </c>
      <c r="P42" s="16">
        <v>145</v>
      </c>
      <c r="Q42" s="16">
        <v>126</v>
      </c>
      <c r="R42" s="16">
        <v>108</v>
      </c>
      <c r="S42" s="16">
        <v>90</v>
      </c>
      <c r="T42" s="16">
        <v>72</v>
      </c>
      <c r="U42" s="16">
        <v>55</v>
      </c>
      <c r="V42" s="16">
        <v>40</v>
      </c>
      <c r="W42" s="16">
        <v>28</v>
      </c>
    </row>
    <row r="43" spans="2:23" x14ac:dyDescent="0.2">
      <c r="B43" s="5">
        <v>40</v>
      </c>
      <c r="C43" s="16" t="s">
        <v>178</v>
      </c>
      <c r="D43" s="16">
        <v>631</v>
      </c>
      <c r="E43" s="16">
        <v>527</v>
      </c>
      <c r="F43" s="16">
        <v>442</v>
      </c>
      <c r="G43" s="16">
        <v>373</v>
      </c>
      <c r="H43" s="16">
        <v>318</v>
      </c>
      <c r="I43" s="16">
        <v>273</v>
      </c>
      <c r="J43" s="16">
        <v>237</v>
      </c>
      <c r="K43" s="16">
        <v>207</v>
      </c>
      <c r="L43" s="16">
        <v>183</v>
      </c>
      <c r="M43" s="16">
        <v>162</v>
      </c>
      <c r="N43" s="16">
        <v>144</v>
      </c>
      <c r="O43" s="16">
        <v>127</v>
      </c>
      <c r="P43" s="16">
        <v>111</v>
      </c>
      <c r="Q43" s="16">
        <v>95</v>
      </c>
      <c r="R43" s="16">
        <v>80</v>
      </c>
      <c r="S43" s="16">
        <v>64</v>
      </c>
      <c r="T43" s="16">
        <v>49</v>
      </c>
      <c r="U43" s="16">
        <v>35</v>
      </c>
      <c r="V43" s="16">
        <v>22</v>
      </c>
      <c r="W43" s="16">
        <v>11</v>
      </c>
    </row>
    <row r="44" spans="2:23" x14ac:dyDescent="0.2">
      <c r="B44" s="5">
        <v>41</v>
      </c>
      <c r="C44" s="16" t="s">
        <v>179</v>
      </c>
      <c r="D44" s="16">
        <v>517</v>
      </c>
      <c r="E44" s="16">
        <v>429</v>
      </c>
      <c r="F44" s="16">
        <v>357</v>
      </c>
      <c r="G44" s="16">
        <v>298</v>
      </c>
      <c r="H44" s="16">
        <v>252</v>
      </c>
      <c r="I44" s="16">
        <v>215</v>
      </c>
      <c r="J44" s="16">
        <v>185</v>
      </c>
      <c r="K44" s="16">
        <v>161</v>
      </c>
      <c r="L44" s="16">
        <v>142</v>
      </c>
      <c r="M44" s="16">
        <v>126</v>
      </c>
      <c r="N44" s="16">
        <v>111</v>
      </c>
      <c r="O44" s="16">
        <v>98</v>
      </c>
      <c r="P44" s="16">
        <v>86</v>
      </c>
      <c r="Q44" s="16">
        <v>73</v>
      </c>
      <c r="R44" s="16">
        <v>61</v>
      </c>
      <c r="S44" s="16">
        <v>49</v>
      </c>
      <c r="T44" s="16">
        <v>36</v>
      </c>
      <c r="U44" s="16">
        <v>25</v>
      </c>
      <c r="V44" s="16">
        <v>15</v>
      </c>
      <c r="W44" s="16">
        <v>7</v>
      </c>
    </row>
    <row r="45" spans="2:23" x14ac:dyDescent="0.2">
      <c r="B45" s="5">
        <v>42</v>
      </c>
      <c r="C45" s="16" t="s">
        <v>180</v>
      </c>
      <c r="D45" s="16">
        <v>437</v>
      </c>
      <c r="E45" s="16">
        <v>358</v>
      </c>
      <c r="F45" s="16">
        <v>293</v>
      </c>
      <c r="G45" s="16">
        <v>241</v>
      </c>
      <c r="H45" s="16">
        <v>200</v>
      </c>
      <c r="I45" s="16">
        <v>167</v>
      </c>
      <c r="J45" s="16">
        <v>141</v>
      </c>
      <c r="K45" s="16">
        <v>120</v>
      </c>
      <c r="L45" s="16">
        <v>104</v>
      </c>
      <c r="M45" s="16">
        <v>91</v>
      </c>
      <c r="N45" s="16">
        <v>79</v>
      </c>
      <c r="O45" s="16">
        <v>70</v>
      </c>
      <c r="P45" s="16">
        <v>60</v>
      </c>
      <c r="Q45" s="16">
        <v>52</v>
      </c>
      <c r="R45" s="16">
        <v>43</v>
      </c>
      <c r="S45" s="16">
        <v>34</v>
      </c>
      <c r="T45" s="16">
        <v>25</v>
      </c>
      <c r="U45" s="16">
        <v>17</v>
      </c>
      <c r="V45" s="16">
        <v>10</v>
      </c>
      <c r="W45" s="16">
        <v>4</v>
      </c>
    </row>
    <row r="46" spans="2:23" x14ac:dyDescent="0.2">
      <c r="B46" s="5">
        <v>43</v>
      </c>
      <c r="C46" s="16" t="s">
        <v>181</v>
      </c>
      <c r="D46" s="16">
        <v>596</v>
      </c>
      <c r="E46" s="16">
        <v>495</v>
      </c>
      <c r="F46" s="16">
        <v>412</v>
      </c>
      <c r="G46" s="16">
        <v>344</v>
      </c>
      <c r="H46" s="16">
        <v>289</v>
      </c>
      <c r="I46" s="16">
        <v>244</v>
      </c>
      <c r="J46" s="16">
        <v>208</v>
      </c>
      <c r="K46" s="16">
        <v>179</v>
      </c>
      <c r="L46" s="16">
        <v>155</v>
      </c>
      <c r="M46" s="16">
        <v>135</v>
      </c>
      <c r="N46" s="16">
        <v>118</v>
      </c>
      <c r="O46" s="16">
        <v>103</v>
      </c>
      <c r="P46" s="16">
        <v>90</v>
      </c>
      <c r="Q46" s="16">
        <v>77</v>
      </c>
      <c r="R46" s="16">
        <v>64</v>
      </c>
      <c r="S46" s="16">
        <v>51</v>
      </c>
      <c r="T46" s="16">
        <v>39</v>
      </c>
      <c r="U46" s="16">
        <v>27</v>
      </c>
      <c r="V46" s="16">
        <v>16</v>
      </c>
      <c r="W46" s="16">
        <v>7</v>
      </c>
    </row>
    <row r="47" spans="2:23" x14ac:dyDescent="0.2">
      <c r="B47" s="5">
        <v>44</v>
      </c>
      <c r="C47" s="16" t="s">
        <v>182</v>
      </c>
      <c r="D47" s="16">
        <v>490</v>
      </c>
      <c r="E47" s="16">
        <v>396</v>
      </c>
      <c r="F47" s="16">
        <v>320</v>
      </c>
      <c r="G47" s="16">
        <v>259</v>
      </c>
      <c r="H47" s="16">
        <v>211</v>
      </c>
      <c r="I47" s="16">
        <v>173</v>
      </c>
      <c r="J47" s="16">
        <v>144</v>
      </c>
      <c r="K47" s="16">
        <v>122</v>
      </c>
      <c r="L47" s="16">
        <v>105</v>
      </c>
      <c r="M47" s="16">
        <v>91</v>
      </c>
      <c r="N47" s="16">
        <v>80</v>
      </c>
      <c r="O47" s="16">
        <v>70</v>
      </c>
      <c r="P47" s="16">
        <v>61</v>
      </c>
      <c r="Q47" s="16">
        <v>52</v>
      </c>
      <c r="R47" s="16">
        <v>43</v>
      </c>
      <c r="S47" s="16">
        <v>34</v>
      </c>
      <c r="T47" s="16">
        <v>25</v>
      </c>
      <c r="U47" s="16">
        <v>17</v>
      </c>
      <c r="V47" s="16">
        <v>9</v>
      </c>
      <c r="W47" s="16">
        <v>3</v>
      </c>
    </row>
    <row r="48" spans="2:23" x14ac:dyDescent="0.2">
      <c r="B48" s="5">
        <v>45</v>
      </c>
      <c r="C48" s="16" t="s">
        <v>183</v>
      </c>
      <c r="D48" s="16">
        <v>552</v>
      </c>
      <c r="E48" s="16">
        <v>446</v>
      </c>
      <c r="F48" s="16">
        <v>362</v>
      </c>
      <c r="G48" s="16">
        <v>295</v>
      </c>
      <c r="H48" s="16">
        <v>243</v>
      </c>
      <c r="I48" s="16">
        <v>203</v>
      </c>
      <c r="J48" s="16">
        <v>172</v>
      </c>
      <c r="K48" s="16">
        <v>148</v>
      </c>
      <c r="L48" s="16">
        <v>130</v>
      </c>
      <c r="M48" s="16">
        <v>115</v>
      </c>
      <c r="N48" s="16">
        <v>102</v>
      </c>
      <c r="O48" s="16">
        <v>90</v>
      </c>
      <c r="P48" s="16">
        <v>79</v>
      </c>
      <c r="Q48" s="16">
        <v>67</v>
      </c>
      <c r="R48" s="16">
        <v>55</v>
      </c>
      <c r="S48" s="16">
        <v>43</v>
      </c>
      <c r="T48" s="16">
        <v>31</v>
      </c>
      <c r="U48" s="16">
        <v>20</v>
      </c>
      <c r="V48" s="16">
        <v>10</v>
      </c>
      <c r="W48" s="16">
        <v>3</v>
      </c>
    </row>
    <row r="49" spans="2:23" x14ac:dyDescent="0.2">
      <c r="B49" s="5">
        <v>46</v>
      </c>
      <c r="C49" s="16" t="s">
        <v>184</v>
      </c>
      <c r="D49" s="16">
        <v>580</v>
      </c>
      <c r="E49" s="16">
        <v>469</v>
      </c>
      <c r="F49" s="16">
        <v>379</v>
      </c>
      <c r="G49" s="16">
        <v>308</v>
      </c>
      <c r="H49" s="16">
        <v>253</v>
      </c>
      <c r="I49" s="16">
        <v>210</v>
      </c>
      <c r="J49" s="16">
        <v>176</v>
      </c>
      <c r="K49" s="16">
        <v>151</v>
      </c>
      <c r="L49" s="16">
        <v>131</v>
      </c>
      <c r="M49" s="16">
        <v>115</v>
      </c>
      <c r="N49" s="16">
        <v>101</v>
      </c>
      <c r="O49" s="16">
        <v>89</v>
      </c>
      <c r="P49" s="16">
        <v>78</v>
      </c>
      <c r="Q49" s="16">
        <v>67</v>
      </c>
      <c r="R49" s="16">
        <v>55</v>
      </c>
      <c r="S49" s="16">
        <v>44</v>
      </c>
      <c r="T49" s="16">
        <v>32</v>
      </c>
      <c r="U49" s="16">
        <v>21</v>
      </c>
      <c r="V49" s="16">
        <v>11</v>
      </c>
      <c r="W49" s="16">
        <v>4</v>
      </c>
    </row>
    <row r="50" spans="2:23" x14ac:dyDescent="0.2">
      <c r="B50" s="5">
        <v>47</v>
      </c>
      <c r="C50" s="16" t="s">
        <v>185</v>
      </c>
      <c r="D50" s="16">
        <v>595</v>
      </c>
      <c r="E50" s="16">
        <v>485</v>
      </c>
      <c r="F50" s="16">
        <v>397</v>
      </c>
      <c r="G50" s="16">
        <v>325</v>
      </c>
      <c r="H50" s="16">
        <v>269</v>
      </c>
      <c r="I50" s="16">
        <v>224</v>
      </c>
      <c r="J50" s="16">
        <v>189</v>
      </c>
      <c r="K50" s="16">
        <v>161</v>
      </c>
      <c r="L50" s="16">
        <v>140</v>
      </c>
      <c r="M50" s="16">
        <v>122</v>
      </c>
      <c r="N50" s="16">
        <v>107</v>
      </c>
      <c r="O50" s="16">
        <v>94</v>
      </c>
      <c r="P50" s="16">
        <v>82</v>
      </c>
      <c r="Q50" s="16">
        <v>70</v>
      </c>
      <c r="R50" s="16">
        <v>58</v>
      </c>
      <c r="S50" s="16">
        <v>46</v>
      </c>
      <c r="T50" s="16">
        <v>34</v>
      </c>
      <c r="U50" s="16">
        <v>22</v>
      </c>
      <c r="V50" s="16">
        <v>12</v>
      </c>
      <c r="W50" s="16">
        <v>4</v>
      </c>
    </row>
    <row r="51" spans="2:23" x14ac:dyDescent="0.2">
      <c r="B51" s="5">
        <v>48</v>
      </c>
      <c r="C51" s="16" t="s">
        <v>186</v>
      </c>
      <c r="D51" s="16">
        <v>627</v>
      </c>
      <c r="E51" s="16">
        <v>513</v>
      </c>
      <c r="F51" s="16">
        <v>421</v>
      </c>
      <c r="G51" s="16">
        <v>347</v>
      </c>
      <c r="H51" s="16">
        <v>288</v>
      </c>
      <c r="I51" s="16">
        <v>241</v>
      </c>
      <c r="J51" s="16">
        <v>205</v>
      </c>
      <c r="K51" s="16">
        <v>176</v>
      </c>
      <c r="L51" s="16">
        <v>153</v>
      </c>
      <c r="M51" s="16">
        <v>134</v>
      </c>
      <c r="N51" s="16">
        <v>118</v>
      </c>
      <c r="O51" s="16">
        <v>103</v>
      </c>
      <c r="P51" s="16">
        <v>90</v>
      </c>
      <c r="Q51" s="16">
        <v>76</v>
      </c>
      <c r="R51" s="16">
        <v>63</v>
      </c>
      <c r="S51" s="16">
        <v>49</v>
      </c>
      <c r="T51" s="16">
        <v>36</v>
      </c>
      <c r="U51" s="16">
        <v>23</v>
      </c>
      <c r="V51" s="16">
        <v>12</v>
      </c>
      <c r="W51" s="16">
        <v>3</v>
      </c>
    </row>
    <row r="52" spans="2:23" x14ac:dyDescent="0.2">
      <c r="B52" s="5">
        <v>49</v>
      </c>
      <c r="C52" s="16" t="s">
        <v>187</v>
      </c>
      <c r="D52" s="16">
        <v>664</v>
      </c>
      <c r="E52" s="16">
        <v>537</v>
      </c>
      <c r="F52" s="16">
        <v>436</v>
      </c>
      <c r="G52" s="16">
        <v>354</v>
      </c>
      <c r="H52" s="16">
        <v>290</v>
      </c>
      <c r="I52" s="16">
        <v>241</v>
      </c>
      <c r="J52" s="16">
        <v>202</v>
      </c>
      <c r="K52" s="16">
        <v>172</v>
      </c>
      <c r="L52" s="16">
        <v>149</v>
      </c>
      <c r="M52" s="16">
        <v>130</v>
      </c>
      <c r="N52" s="16">
        <v>114</v>
      </c>
      <c r="O52" s="16">
        <v>100</v>
      </c>
      <c r="P52" s="16">
        <v>87</v>
      </c>
      <c r="Q52" s="16">
        <v>74</v>
      </c>
      <c r="R52" s="16">
        <v>61</v>
      </c>
      <c r="S52" s="16">
        <v>48</v>
      </c>
      <c r="T52" s="16">
        <v>34</v>
      </c>
      <c r="U52" s="16">
        <v>22</v>
      </c>
      <c r="V52" s="16">
        <v>11</v>
      </c>
      <c r="W52" s="16">
        <v>2</v>
      </c>
    </row>
    <row r="53" spans="2:23" x14ac:dyDescent="0.2">
      <c r="B53" s="5">
        <v>50</v>
      </c>
      <c r="C53" s="16" t="s">
        <v>188</v>
      </c>
      <c r="D53" s="16">
        <v>485</v>
      </c>
      <c r="E53" s="16">
        <v>391</v>
      </c>
      <c r="F53" s="16">
        <v>315</v>
      </c>
      <c r="G53" s="16">
        <v>256</v>
      </c>
      <c r="H53" s="16">
        <v>210</v>
      </c>
      <c r="I53" s="16">
        <v>174</v>
      </c>
      <c r="J53" s="16">
        <v>147</v>
      </c>
      <c r="K53" s="16">
        <v>126</v>
      </c>
      <c r="L53" s="16">
        <v>110</v>
      </c>
      <c r="M53" s="16">
        <v>98</v>
      </c>
      <c r="N53" s="16">
        <v>87</v>
      </c>
      <c r="O53" s="16">
        <v>78</v>
      </c>
      <c r="P53" s="16">
        <v>69</v>
      </c>
      <c r="Q53" s="16">
        <v>60</v>
      </c>
      <c r="R53" s="16">
        <v>50</v>
      </c>
      <c r="S53" s="16">
        <v>41</v>
      </c>
      <c r="T53" s="16">
        <v>31</v>
      </c>
      <c r="U53" s="16">
        <v>22</v>
      </c>
      <c r="V53" s="16">
        <v>14</v>
      </c>
      <c r="W53" s="16">
        <v>8</v>
      </c>
    </row>
    <row r="54" spans="2:23" x14ac:dyDescent="0.2">
      <c r="B54" s="5">
        <v>51</v>
      </c>
      <c r="C54" s="16" t="s">
        <v>189</v>
      </c>
      <c r="D54" s="16">
        <v>498</v>
      </c>
      <c r="E54" s="16">
        <v>401</v>
      </c>
      <c r="F54" s="16">
        <v>324</v>
      </c>
      <c r="G54" s="16">
        <v>262</v>
      </c>
      <c r="H54" s="16">
        <v>213</v>
      </c>
      <c r="I54" s="16">
        <v>175</v>
      </c>
      <c r="J54" s="16">
        <v>146</v>
      </c>
      <c r="K54" s="16">
        <v>124</v>
      </c>
      <c r="L54" s="16">
        <v>107</v>
      </c>
      <c r="M54" s="16">
        <v>93</v>
      </c>
      <c r="N54" s="16">
        <v>82</v>
      </c>
      <c r="O54" s="16">
        <v>72</v>
      </c>
      <c r="P54" s="16">
        <v>63</v>
      </c>
      <c r="Q54" s="16">
        <v>53</v>
      </c>
      <c r="R54" s="16">
        <v>44</v>
      </c>
      <c r="S54" s="16">
        <v>35</v>
      </c>
      <c r="T54" s="16">
        <v>25</v>
      </c>
      <c r="U54" s="16">
        <v>16</v>
      </c>
      <c r="V54" s="16">
        <v>8</v>
      </c>
      <c r="W54" s="16">
        <v>2</v>
      </c>
    </row>
    <row r="55" spans="2:23" x14ac:dyDescent="0.2">
      <c r="B55" s="5">
        <v>52</v>
      </c>
      <c r="C55" s="16" t="s">
        <v>190</v>
      </c>
      <c r="D55" s="16">
        <v>284</v>
      </c>
      <c r="E55" s="16">
        <v>231</v>
      </c>
      <c r="F55" s="16">
        <v>187</v>
      </c>
      <c r="G55" s="16">
        <v>152</v>
      </c>
      <c r="H55" s="16">
        <v>124</v>
      </c>
      <c r="I55" s="16">
        <v>102</v>
      </c>
      <c r="J55" s="16">
        <v>84</v>
      </c>
      <c r="K55" s="16">
        <v>71</v>
      </c>
      <c r="L55" s="16">
        <v>60</v>
      </c>
      <c r="M55" s="16">
        <v>51</v>
      </c>
      <c r="N55" s="16">
        <v>45</v>
      </c>
      <c r="O55" s="16">
        <v>39</v>
      </c>
      <c r="P55" s="16">
        <v>34</v>
      </c>
      <c r="Q55" s="16">
        <v>29</v>
      </c>
      <c r="R55" s="16">
        <v>25</v>
      </c>
      <c r="S55" s="16">
        <v>20</v>
      </c>
      <c r="T55" s="16">
        <v>15</v>
      </c>
      <c r="U55" s="16">
        <v>11</v>
      </c>
      <c r="V55" s="16">
        <v>7</v>
      </c>
      <c r="W55" s="16">
        <v>3</v>
      </c>
    </row>
    <row r="56" spans="2:23" x14ac:dyDescent="0.2">
      <c r="B56" s="5">
        <v>53</v>
      </c>
      <c r="C56" s="16" t="s">
        <v>191</v>
      </c>
      <c r="D56" s="16">
        <v>499</v>
      </c>
      <c r="E56" s="16">
        <v>406</v>
      </c>
      <c r="F56" s="16">
        <v>331</v>
      </c>
      <c r="G56" s="16">
        <v>271</v>
      </c>
      <c r="H56" s="16">
        <v>223</v>
      </c>
      <c r="I56" s="16">
        <v>186</v>
      </c>
      <c r="J56" s="16">
        <v>157</v>
      </c>
      <c r="K56" s="16">
        <v>134</v>
      </c>
      <c r="L56" s="16">
        <v>116</v>
      </c>
      <c r="M56" s="16">
        <v>101</v>
      </c>
      <c r="N56" s="16">
        <v>89</v>
      </c>
      <c r="O56" s="16">
        <v>78</v>
      </c>
      <c r="P56" s="16">
        <v>68</v>
      </c>
      <c r="Q56" s="16">
        <v>58</v>
      </c>
      <c r="R56" s="16">
        <v>47</v>
      </c>
      <c r="S56" s="16">
        <v>37</v>
      </c>
      <c r="T56" s="16">
        <v>27</v>
      </c>
      <c r="U56" s="16">
        <v>17</v>
      </c>
      <c r="V56" s="16">
        <v>9</v>
      </c>
      <c r="W56" s="16">
        <v>2</v>
      </c>
    </row>
    <row r="57" spans="2:23" x14ac:dyDescent="0.2">
      <c r="B57" s="5">
        <v>54</v>
      </c>
      <c r="C57" s="16" t="s">
        <v>192</v>
      </c>
      <c r="D57" s="16">
        <v>412</v>
      </c>
      <c r="E57" s="16">
        <v>332</v>
      </c>
      <c r="F57" s="16">
        <v>269</v>
      </c>
      <c r="G57" s="16">
        <v>218</v>
      </c>
      <c r="H57" s="16">
        <v>179</v>
      </c>
      <c r="I57" s="16">
        <v>148</v>
      </c>
      <c r="J57" s="16">
        <v>125</v>
      </c>
      <c r="K57" s="16">
        <v>107</v>
      </c>
      <c r="L57" s="16">
        <v>93</v>
      </c>
      <c r="M57" s="16">
        <v>82</v>
      </c>
      <c r="N57" s="16">
        <v>73</v>
      </c>
      <c r="O57" s="16">
        <v>65</v>
      </c>
      <c r="P57" s="16">
        <v>57</v>
      </c>
      <c r="Q57" s="16">
        <v>49</v>
      </c>
      <c r="R57" s="16">
        <v>41</v>
      </c>
      <c r="S57" s="16">
        <v>33</v>
      </c>
      <c r="T57" s="16">
        <v>25</v>
      </c>
      <c r="U57" s="16">
        <v>17</v>
      </c>
      <c r="V57" s="16">
        <v>10</v>
      </c>
      <c r="W57" s="16">
        <v>5</v>
      </c>
    </row>
    <row r="58" spans="2:23" x14ac:dyDescent="0.2">
      <c r="B58" s="17">
        <v>55</v>
      </c>
      <c r="C58" s="16" t="s">
        <v>193</v>
      </c>
      <c r="D58" s="16">
        <v>430</v>
      </c>
      <c r="E58" s="16">
        <v>351</v>
      </c>
      <c r="F58" s="16">
        <v>286</v>
      </c>
      <c r="G58" s="16">
        <v>233</v>
      </c>
      <c r="H58" s="16">
        <v>191</v>
      </c>
      <c r="I58" s="16">
        <v>158</v>
      </c>
      <c r="J58" s="16">
        <v>132</v>
      </c>
      <c r="K58" s="16">
        <v>111</v>
      </c>
      <c r="L58" s="16">
        <v>95</v>
      </c>
      <c r="M58" s="16">
        <v>82</v>
      </c>
      <c r="N58" s="16">
        <v>71</v>
      </c>
      <c r="O58" s="16">
        <v>62</v>
      </c>
      <c r="P58" s="16">
        <v>54</v>
      </c>
      <c r="Q58" s="16">
        <v>46</v>
      </c>
      <c r="R58" s="16">
        <v>38</v>
      </c>
      <c r="S58" s="16">
        <v>30</v>
      </c>
      <c r="T58" s="16">
        <v>22</v>
      </c>
      <c r="U58" s="16">
        <v>14</v>
      </c>
      <c r="V58" s="16">
        <v>7</v>
      </c>
      <c r="W58" s="16">
        <v>1</v>
      </c>
    </row>
    <row r="59" spans="2:23" x14ac:dyDescent="0.2">
      <c r="B59" s="17">
        <v>56</v>
      </c>
      <c r="C59" s="16" t="s">
        <v>194</v>
      </c>
      <c r="D59" s="16">
        <v>352</v>
      </c>
      <c r="E59" s="16">
        <v>284</v>
      </c>
      <c r="F59" s="16">
        <v>230</v>
      </c>
      <c r="G59" s="16">
        <v>186</v>
      </c>
      <c r="H59" s="16">
        <v>151</v>
      </c>
      <c r="I59" s="16">
        <v>125</v>
      </c>
      <c r="J59" s="16">
        <v>104</v>
      </c>
      <c r="K59" s="16">
        <v>88</v>
      </c>
      <c r="L59" s="16">
        <v>75</v>
      </c>
      <c r="M59" s="16">
        <v>66</v>
      </c>
      <c r="N59" s="16">
        <v>58</v>
      </c>
      <c r="O59" s="16">
        <v>51</v>
      </c>
      <c r="P59" s="16">
        <v>45</v>
      </c>
      <c r="Q59" s="16">
        <v>39</v>
      </c>
      <c r="R59" s="16">
        <v>32</v>
      </c>
      <c r="S59" s="16">
        <v>26</v>
      </c>
      <c r="T59" s="16">
        <v>20</v>
      </c>
      <c r="U59" s="16">
        <v>14</v>
      </c>
      <c r="V59" s="16">
        <v>9</v>
      </c>
      <c r="W59" s="16">
        <v>5</v>
      </c>
    </row>
    <row r="60" spans="2:23" x14ac:dyDescent="0.2">
      <c r="B60" s="17">
        <v>57</v>
      </c>
      <c r="C60" s="16" t="s">
        <v>195</v>
      </c>
      <c r="D60" s="16">
        <v>687</v>
      </c>
      <c r="E60" s="16">
        <v>565</v>
      </c>
      <c r="F60" s="16">
        <v>465</v>
      </c>
      <c r="G60" s="16">
        <v>384</v>
      </c>
      <c r="H60" s="16">
        <v>318</v>
      </c>
      <c r="I60" s="16">
        <v>266</v>
      </c>
      <c r="J60" s="16">
        <v>224</v>
      </c>
      <c r="K60" s="16">
        <v>191</v>
      </c>
      <c r="L60" s="16">
        <v>164</v>
      </c>
      <c r="M60" s="16">
        <v>143</v>
      </c>
      <c r="N60" s="16">
        <v>124</v>
      </c>
      <c r="O60" s="16">
        <v>108</v>
      </c>
      <c r="P60" s="16">
        <v>93</v>
      </c>
      <c r="Q60" s="16">
        <v>79</v>
      </c>
      <c r="R60" s="16">
        <v>65</v>
      </c>
      <c r="S60" s="16">
        <v>51</v>
      </c>
      <c r="T60" s="16">
        <v>38</v>
      </c>
      <c r="U60" s="16">
        <v>24</v>
      </c>
      <c r="V60" s="16">
        <v>12</v>
      </c>
      <c r="W60" s="16">
        <v>2</v>
      </c>
    </row>
    <row r="61" spans="2:23" x14ac:dyDescent="0.2">
      <c r="B61" s="17">
        <v>58</v>
      </c>
      <c r="C61" s="16" t="s">
        <v>196</v>
      </c>
      <c r="D61" s="16">
        <v>558</v>
      </c>
      <c r="E61" s="16">
        <v>457</v>
      </c>
      <c r="F61" s="16">
        <v>374</v>
      </c>
      <c r="G61" s="16">
        <v>307</v>
      </c>
      <c r="H61" s="16">
        <v>253</v>
      </c>
      <c r="I61" s="16">
        <v>210</v>
      </c>
      <c r="J61" s="16">
        <v>176</v>
      </c>
      <c r="K61" s="16">
        <v>149</v>
      </c>
      <c r="L61" s="16">
        <v>127</v>
      </c>
      <c r="M61" s="16">
        <v>110</v>
      </c>
      <c r="N61" s="16">
        <v>95</v>
      </c>
      <c r="O61" s="16">
        <v>83</v>
      </c>
      <c r="P61" s="16">
        <v>71</v>
      </c>
      <c r="Q61" s="16">
        <v>60</v>
      </c>
      <c r="R61" s="16">
        <v>50</v>
      </c>
      <c r="S61" s="16">
        <v>39</v>
      </c>
      <c r="T61" s="16">
        <v>29</v>
      </c>
      <c r="U61" s="16">
        <v>19</v>
      </c>
      <c r="V61" s="16">
        <v>9</v>
      </c>
      <c r="W61" s="16">
        <v>1</v>
      </c>
    </row>
    <row r="62" spans="2:23" x14ac:dyDescent="0.2">
      <c r="B62" s="17">
        <v>59</v>
      </c>
      <c r="C62" s="16" t="s">
        <v>197</v>
      </c>
      <c r="D62" s="16">
        <v>1173</v>
      </c>
      <c r="E62" s="16">
        <v>987</v>
      </c>
      <c r="F62" s="16">
        <v>833</v>
      </c>
      <c r="G62" s="16">
        <v>706</v>
      </c>
      <c r="H62" s="16">
        <v>603</v>
      </c>
      <c r="I62" s="16">
        <v>518</v>
      </c>
      <c r="J62" s="16">
        <v>448</v>
      </c>
      <c r="K62" s="16">
        <v>391</v>
      </c>
      <c r="L62" s="16">
        <v>342</v>
      </c>
      <c r="M62" s="16">
        <v>301</v>
      </c>
      <c r="N62" s="16">
        <v>264</v>
      </c>
      <c r="O62" s="16">
        <v>230</v>
      </c>
      <c r="P62" s="16">
        <v>198</v>
      </c>
      <c r="Q62" s="16">
        <v>166</v>
      </c>
      <c r="R62" s="16">
        <v>136</v>
      </c>
      <c r="S62" s="16">
        <v>105</v>
      </c>
      <c r="T62" s="16">
        <v>76</v>
      </c>
      <c r="U62" s="16">
        <v>48</v>
      </c>
      <c r="V62" s="16">
        <v>22</v>
      </c>
      <c r="W62" s="16">
        <v>1</v>
      </c>
    </row>
    <row r="63" spans="2:23" x14ac:dyDescent="0.2">
      <c r="B63" s="17">
        <v>60</v>
      </c>
      <c r="C63" s="16" t="s">
        <v>198</v>
      </c>
      <c r="D63" s="16">
        <v>797</v>
      </c>
      <c r="E63" s="16">
        <v>663</v>
      </c>
      <c r="F63" s="16">
        <v>552</v>
      </c>
      <c r="G63" s="16">
        <v>462</v>
      </c>
      <c r="H63" s="16">
        <v>388</v>
      </c>
      <c r="I63" s="16">
        <v>328</v>
      </c>
      <c r="J63" s="16">
        <v>280</v>
      </c>
      <c r="K63" s="16">
        <v>241</v>
      </c>
      <c r="L63" s="16">
        <v>209</v>
      </c>
      <c r="M63" s="16">
        <v>182</v>
      </c>
      <c r="N63" s="16">
        <v>158</v>
      </c>
      <c r="O63" s="16">
        <v>138</v>
      </c>
      <c r="P63" s="16">
        <v>118</v>
      </c>
      <c r="Q63" s="16">
        <v>100</v>
      </c>
      <c r="R63" s="16">
        <v>82</v>
      </c>
      <c r="S63" s="16">
        <v>64</v>
      </c>
      <c r="T63" s="16">
        <v>47</v>
      </c>
      <c r="U63" s="16">
        <v>30</v>
      </c>
      <c r="V63" s="16">
        <v>15</v>
      </c>
      <c r="W63" s="16">
        <v>2</v>
      </c>
    </row>
    <row r="64" spans="2:23" x14ac:dyDescent="0.2">
      <c r="B64" s="17">
        <v>61</v>
      </c>
      <c r="C64" s="16" t="s">
        <v>199</v>
      </c>
      <c r="D64" s="16">
        <v>849</v>
      </c>
      <c r="E64" s="16">
        <v>702</v>
      </c>
      <c r="F64" s="16">
        <v>582</v>
      </c>
      <c r="G64" s="16">
        <v>484</v>
      </c>
      <c r="H64" s="16">
        <v>405</v>
      </c>
      <c r="I64" s="16">
        <v>341</v>
      </c>
      <c r="J64" s="16">
        <v>290</v>
      </c>
      <c r="K64" s="16">
        <v>250</v>
      </c>
      <c r="L64" s="16">
        <v>216</v>
      </c>
      <c r="M64" s="16">
        <v>189</v>
      </c>
      <c r="N64" s="16">
        <v>165</v>
      </c>
      <c r="O64" s="16">
        <v>144</v>
      </c>
      <c r="P64" s="16">
        <v>124</v>
      </c>
      <c r="Q64" s="16">
        <v>105</v>
      </c>
      <c r="R64" s="16">
        <v>86</v>
      </c>
      <c r="S64" s="16">
        <v>67</v>
      </c>
      <c r="T64" s="16">
        <v>48</v>
      </c>
      <c r="U64" s="16">
        <v>31</v>
      </c>
      <c r="V64" s="16">
        <v>15</v>
      </c>
      <c r="W64" s="16">
        <v>1</v>
      </c>
    </row>
    <row r="65" spans="2:23" x14ac:dyDescent="0.2">
      <c r="B65" s="17">
        <v>62</v>
      </c>
      <c r="C65" s="16" t="s">
        <v>200</v>
      </c>
      <c r="D65" s="16">
        <v>742</v>
      </c>
      <c r="E65" s="16">
        <v>615</v>
      </c>
      <c r="F65" s="16">
        <v>511</v>
      </c>
      <c r="G65" s="16">
        <v>426</v>
      </c>
      <c r="H65" s="16">
        <v>357</v>
      </c>
      <c r="I65" s="16">
        <v>301</v>
      </c>
      <c r="J65" s="16">
        <v>256</v>
      </c>
      <c r="K65" s="16">
        <v>220</v>
      </c>
      <c r="L65" s="16">
        <v>190</v>
      </c>
      <c r="M65" s="16">
        <v>165</v>
      </c>
      <c r="N65" s="16">
        <v>144</v>
      </c>
      <c r="O65" s="16">
        <v>125</v>
      </c>
      <c r="P65" s="16">
        <v>108</v>
      </c>
      <c r="Q65" s="16">
        <v>91</v>
      </c>
      <c r="R65" s="16">
        <v>75</v>
      </c>
      <c r="S65" s="16">
        <v>58</v>
      </c>
      <c r="T65" s="16">
        <v>43</v>
      </c>
      <c r="U65" s="16">
        <v>27</v>
      </c>
      <c r="V65" s="16">
        <v>13</v>
      </c>
      <c r="W65" s="16">
        <v>1</v>
      </c>
    </row>
    <row r="66" spans="2:23" x14ac:dyDescent="0.2">
      <c r="B66" s="17">
        <v>63</v>
      </c>
      <c r="C66" s="16" t="s">
        <v>201</v>
      </c>
      <c r="D66" s="16">
        <v>867</v>
      </c>
      <c r="E66" s="16">
        <v>716</v>
      </c>
      <c r="F66" s="16">
        <v>593</v>
      </c>
      <c r="G66" s="16">
        <v>493</v>
      </c>
      <c r="H66" s="16">
        <v>413</v>
      </c>
      <c r="I66" s="16">
        <v>349</v>
      </c>
      <c r="J66" s="16">
        <v>298</v>
      </c>
      <c r="K66" s="16">
        <v>258</v>
      </c>
      <c r="L66" s="16">
        <v>224</v>
      </c>
      <c r="M66" s="16">
        <v>197</v>
      </c>
      <c r="N66" s="16">
        <v>173</v>
      </c>
      <c r="O66" s="16">
        <v>151</v>
      </c>
      <c r="P66" s="16">
        <v>130</v>
      </c>
      <c r="Q66" s="16">
        <v>110</v>
      </c>
      <c r="R66" s="16">
        <v>90</v>
      </c>
      <c r="S66" s="16">
        <v>70</v>
      </c>
      <c r="T66" s="16">
        <v>51</v>
      </c>
      <c r="U66" s="16">
        <v>32</v>
      </c>
      <c r="V66" s="16">
        <v>15</v>
      </c>
      <c r="W66" s="16">
        <v>2</v>
      </c>
    </row>
    <row r="67" spans="2:23" x14ac:dyDescent="0.2">
      <c r="B67" s="17">
        <v>64</v>
      </c>
      <c r="C67" s="16" t="s">
        <v>202</v>
      </c>
      <c r="D67" s="16">
        <v>708</v>
      </c>
      <c r="E67" s="16">
        <v>593</v>
      </c>
      <c r="F67" s="16">
        <v>497</v>
      </c>
      <c r="G67" s="16">
        <v>418</v>
      </c>
      <c r="H67" s="16">
        <v>353</v>
      </c>
      <c r="I67" s="16">
        <v>301</v>
      </c>
      <c r="J67" s="16">
        <v>257</v>
      </c>
      <c r="K67" s="16">
        <v>222</v>
      </c>
      <c r="L67" s="16">
        <v>193</v>
      </c>
      <c r="M67" s="16">
        <v>168</v>
      </c>
      <c r="N67" s="16">
        <v>146</v>
      </c>
      <c r="O67" s="16">
        <v>127</v>
      </c>
      <c r="P67" s="16">
        <v>109</v>
      </c>
      <c r="Q67" s="16">
        <v>92</v>
      </c>
      <c r="R67" s="16">
        <v>76</v>
      </c>
      <c r="S67" s="16">
        <v>59</v>
      </c>
      <c r="T67" s="16">
        <v>43</v>
      </c>
      <c r="U67" s="16">
        <v>28</v>
      </c>
      <c r="V67" s="16">
        <v>14</v>
      </c>
      <c r="W67" s="16">
        <v>2</v>
      </c>
    </row>
    <row r="68" spans="2:23" x14ac:dyDescent="0.2">
      <c r="B68" s="17">
        <v>65</v>
      </c>
      <c r="C68" s="16" t="s">
        <v>203</v>
      </c>
      <c r="D68" s="16">
        <v>1156</v>
      </c>
      <c r="E68" s="16">
        <v>964</v>
      </c>
      <c r="F68" s="16">
        <v>807</v>
      </c>
      <c r="G68" s="16">
        <v>679</v>
      </c>
      <c r="H68" s="16">
        <v>575</v>
      </c>
      <c r="I68" s="16">
        <v>492</v>
      </c>
      <c r="J68" s="16">
        <v>424</v>
      </c>
      <c r="K68" s="16">
        <v>369</v>
      </c>
      <c r="L68" s="16">
        <v>324</v>
      </c>
      <c r="M68" s="16">
        <v>285</v>
      </c>
      <c r="N68" s="16">
        <v>250</v>
      </c>
      <c r="O68" s="16">
        <v>219</v>
      </c>
      <c r="P68" s="16">
        <v>189</v>
      </c>
      <c r="Q68" s="16">
        <v>159</v>
      </c>
      <c r="R68" s="16">
        <v>130</v>
      </c>
      <c r="S68" s="16">
        <v>101</v>
      </c>
      <c r="T68" s="16">
        <v>72</v>
      </c>
      <c r="U68" s="16">
        <v>46</v>
      </c>
      <c r="V68" s="16">
        <v>22</v>
      </c>
      <c r="W68" s="16">
        <v>2</v>
      </c>
    </row>
    <row r="69" spans="2:23" x14ac:dyDescent="0.2">
      <c r="B69" s="17">
        <v>66</v>
      </c>
      <c r="C69" s="16" t="s">
        <v>204</v>
      </c>
      <c r="D69" s="16">
        <v>1045</v>
      </c>
      <c r="E69" s="16">
        <v>874</v>
      </c>
      <c r="F69" s="16">
        <v>734</v>
      </c>
      <c r="G69" s="16">
        <v>618</v>
      </c>
      <c r="H69" s="16">
        <v>525</v>
      </c>
      <c r="I69" s="16">
        <v>448</v>
      </c>
      <c r="J69" s="16">
        <v>386</v>
      </c>
      <c r="K69" s="16">
        <v>335</v>
      </c>
      <c r="L69" s="16">
        <v>293</v>
      </c>
      <c r="M69" s="16">
        <v>257</v>
      </c>
      <c r="N69" s="16">
        <v>225</v>
      </c>
      <c r="O69" s="16">
        <v>197</v>
      </c>
      <c r="P69" s="16">
        <v>169</v>
      </c>
      <c r="Q69" s="16">
        <v>143</v>
      </c>
      <c r="R69" s="16">
        <v>117</v>
      </c>
      <c r="S69" s="16">
        <v>91</v>
      </c>
      <c r="T69" s="16">
        <v>66</v>
      </c>
      <c r="U69" s="16">
        <v>42</v>
      </c>
      <c r="V69" s="16">
        <v>20</v>
      </c>
      <c r="W69" s="16">
        <v>2</v>
      </c>
    </row>
    <row r="70" spans="2:23" x14ac:dyDescent="0.2">
      <c r="B70" s="17">
        <v>67</v>
      </c>
      <c r="C70" s="16" t="s">
        <v>205</v>
      </c>
      <c r="D70" s="16">
        <v>668</v>
      </c>
      <c r="E70" s="16">
        <v>554</v>
      </c>
      <c r="F70" s="16">
        <v>460</v>
      </c>
      <c r="G70" s="16">
        <v>384</v>
      </c>
      <c r="H70" s="16">
        <v>322</v>
      </c>
      <c r="I70" s="16">
        <v>273</v>
      </c>
      <c r="J70" s="16">
        <v>233</v>
      </c>
      <c r="K70" s="16">
        <v>201</v>
      </c>
      <c r="L70" s="16">
        <v>175</v>
      </c>
      <c r="M70" s="16">
        <v>153</v>
      </c>
      <c r="N70" s="16">
        <v>133</v>
      </c>
      <c r="O70" s="16">
        <v>116</v>
      </c>
      <c r="P70" s="16">
        <v>100</v>
      </c>
      <c r="Q70" s="16">
        <v>85</v>
      </c>
      <c r="R70" s="16">
        <v>69</v>
      </c>
      <c r="S70" s="16">
        <v>54</v>
      </c>
      <c r="T70" s="16">
        <v>39</v>
      </c>
      <c r="U70" s="16">
        <v>24</v>
      </c>
      <c r="V70" s="16">
        <v>11</v>
      </c>
      <c r="W70" s="16">
        <v>0</v>
      </c>
    </row>
    <row r="71" spans="2:23" x14ac:dyDescent="0.2">
      <c r="B71" s="17">
        <v>68</v>
      </c>
      <c r="C71" s="16" t="s">
        <v>206</v>
      </c>
      <c r="D71" s="16">
        <v>1048</v>
      </c>
      <c r="E71" s="16">
        <v>867</v>
      </c>
      <c r="F71" s="16">
        <v>719</v>
      </c>
      <c r="G71" s="16">
        <v>600</v>
      </c>
      <c r="H71" s="16">
        <v>505</v>
      </c>
      <c r="I71" s="16">
        <v>428</v>
      </c>
      <c r="J71" s="16">
        <v>367</v>
      </c>
      <c r="K71" s="16">
        <v>318</v>
      </c>
      <c r="L71" s="16">
        <v>278</v>
      </c>
      <c r="M71" s="16">
        <v>245</v>
      </c>
      <c r="N71" s="16">
        <v>215</v>
      </c>
      <c r="O71" s="16">
        <v>188</v>
      </c>
      <c r="P71" s="16">
        <v>162</v>
      </c>
      <c r="Q71" s="16">
        <v>137</v>
      </c>
      <c r="R71" s="16">
        <v>112</v>
      </c>
      <c r="S71" s="16">
        <v>86</v>
      </c>
      <c r="T71" s="16">
        <v>61</v>
      </c>
      <c r="U71" s="16">
        <v>38</v>
      </c>
      <c r="V71" s="16">
        <v>17</v>
      </c>
      <c r="W71" s="16">
        <v>0</v>
      </c>
    </row>
    <row r="72" spans="2:23" x14ac:dyDescent="0.2">
      <c r="B72" s="17">
        <v>69</v>
      </c>
      <c r="C72" s="16" t="s">
        <v>207</v>
      </c>
      <c r="D72" s="16">
        <v>1471</v>
      </c>
      <c r="E72" s="16">
        <v>1238</v>
      </c>
      <c r="F72" s="16">
        <v>1045</v>
      </c>
      <c r="G72" s="16">
        <v>888</v>
      </c>
      <c r="H72" s="16">
        <v>759</v>
      </c>
      <c r="I72" s="16">
        <v>655</v>
      </c>
      <c r="J72" s="16">
        <v>569</v>
      </c>
      <c r="K72" s="16">
        <v>499</v>
      </c>
      <c r="L72" s="16">
        <v>439</v>
      </c>
      <c r="M72" s="16">
        <v>387</v>
      </c>
      <c r="N72" s="16">
        <v>341</v>
      </c>
      <c r="O72" s="16">
        <v>298</v>
      </c>
      <c r="P72" s="16">
        <v>257</v>
      </c>
      <c r="Q72" s="16">
        <v>216</v>
      </c>
      <c r="R72" s="16">
        <v>176</v>
      </c>
      <c r="S72" s="16">
        <v>136</v>
      </c>
      <c r="T72" s="16">
        <v>98</v>
      </c>
      <c r="U72" s="16">
        <v>61</v>
      </c>
      <c r="V72" s="16">
        <v>28</v>
      </c>
      <c r="W72" s="16">
        <v>1</v>
      </c>
    </row>
    <row r="74" spans="2:23" x14ac:dyDescent="0.2">
      <c r="D74" t="s">
        <v>328</v>
      </c>
      <c r="F74" t="s">
        <v>329</v>
      </c>
    </row>
    <row r="75" spans="2:23" x14ac:dyDescent="0.2">
      <c r="B75" t="s">
        <v>330</v>
      </c>
      <c r="D75" t="s">
        <v>331</v>
      </c>
      <c r="E75" t="s">
        <v>332</v>
      </c>
      <c r="F75" t="s">
        <v>331</v>
      </c>
      <c r="G75" t="s">
        <v>332</v>
      </c>
    </row>
    <row r="76" spans="2:23" x14ac:dyDescent="0.2">
      <c r="B76">
        <v>8</v>
      </c>
      <c r="C76" t="s">
        <v>23</v>
      </c>
      <c r="D76">
        <v>68</v>
      </c>
      <c r="E76">
        <v>87</v>
      </c>
      <c r="F76">
        <v>88</v>
      </c>
      <c r="G76">
        <v>113</v>
      </c>
    </row>
    <row r="77" spans="2:23" x14ac:dyDescent="0.2">
      <c r="B77">
        <v>9</v>
      </c>
      <c r="C77" t="s">
        <v>24</v>
      </c>
      <c r="D77">
        <v>39.6</v>
      </c>
      <c r="E77">
        <v>73.5</v>
      </c>
      <c r="F77">
        <v>51.5</v>
      </c>
      <c r="G77">
        <v>95.6</v>
      </c>
    </row>
    <row r="78" spans="2:23" x14ac:dyDescent="0.2">
      <c r="B78">
        <v>10</v>
      </c>
      <c r="C78" t="s">
        <v>333</v>
      </c>
      <c r="D78">
        <v>33.200000000000003</v>
      </c>
      <c r="E78">
        <v>49.8</v>
      </c>
      <c r="F78">
        <v>43.6</v>
      </c>
      <c r="G78">
        <v>65.400000000000006</v>
      </c>
    </row>
    <row r="79" spans="2:23" x14ac:dyDescent="0.2">
      <c r="B79">
        <v>11</v>
      </c>
      <c r="C79" t="s">
        <v>26</v>
      </c>
      <c r="D79">
        <v>37</v>
      </c>
      <c r="E79">
        <v>37</v>
      </c>
      <c r="F79">
        <v>48</v>
      </c>
      <c r="G79">
        <v>48</v>
      </c>
    </row>
    <row r="80" spans="2:23" x14ac:dyDescent="0.2">
      <c r="B80">
        <v>14</v>
      </c>
      <c r="C80" t="s">
        <v>29</v>
      </c>
      <c r="D80">
        <v>180</v>
      </c>
      <c r="E80">
        <v>25</v>
      </c>
      <c r="F80">
        <v>234</v>
      </c>
      <c r="G80">
        <v>33</v>
      </c>
    </row>
    <row r="81" spans="2:7" x14ac:dyDescent="0.2">
      <c r="B81">
        <v>15</v>
      </c>
      <c r="C81" t="s">
        <v>334</v>
      </c>
      <c r="D81">
        <v>76</v>
      </c>
      <c r="E81">
        <v>37</v>
      </c>
      <c r="F81">
        <v>99</v>
      </c>
      <c r="G81">
        <v>47</v>
      </c>
    </row>
    <row r="82" spans="2:7" x14ac:dyDescent="0.2">
      <c r="B82">
        <v>17</v>
      </c>
      <c r="C82" t="s">
        <v>335</v>
      </c>
      <c r="D82">
        <v>40</v>
      </c>
      <c r="E82">
        <v>32</v>
      </c>
      <c r="F82">
        <v>50</v>
      </c>
      <c r="G82">
        <v>41</v>
      </c>
    </row>
    <row r="83" spans="2:7" x14ac:dyDescent="0.2">
      <c r="B83">
        <v>18</v>
      </c>
      <c r="C83" t="s">
        <v>33</v>
      </c>
      <c r="D83">
        <v>105</v>
      </c>
      <c r="E83">
        <v>30</v>
      </c>
      <c r="F83">
        <v>137</v>
      </c>
      <c r="G83">
        <v>39</v>
      </c>
    </row>
    <row r="84" spans="2:7" x14ac:dyDescent="0.2">
      <c r="B84">
        <v>19</v>
      </c>
      <c r="C84" t="s">
        <v>34</v>
      </c>
      <c r="D84">
        <v>39.6</v>
      </c>
      <c r="E84">
        <v>73.5</v>
      </c>
      <c r="F84">
        <v>51.5</v>
      </c>
      <c r="G84">
        <v>95.6</v>
      </c>
    </row>
    <row r="85" spans="2:7" x14ac:dyDescent="0.2">
      <c r="B85">
        <v>20</v>
      </c>
      <c r="C85" t="s">
        <v>35</v>
      </c>
      <c r="D85">
        <v>150</v>
      </c>
      <c r="E85">
        <v>50</v>
      </c>
      <c r="F85">
        <v>195</v>
      </c>
      <c r="G85">
        <v>65</v>
      </c>
    </row>
    <row r="86" spans="2:7" x14ac:dyDescent="0.2">
      <c r="B86">
        <v>24</v>
      </c>
      <c r="C86" t="s">
        <v>162</v>
      </c>
      <c r="D86">
        <v>240</v>
      </c>
      <c r="E86">
        <v>30</v>
      </c>
      <c r="F86">
        <v>312</v>
      </c>
      <c r="G86">
        <v>39</v>
      </c>
    </row>
    <row r="87" spans="2:7" x14ac:dyDescent="0.2">
      <c r="B87">
        <v>25</v>
      </c>
      <c r="C87" t="s">
        <v>163</v>
      </c>
      <c r="D87">
        <v>580</v>
      </c>
      <c r="E87">
        <v>72.5</v>
      </c>
      <c r="F87">
        <v>754</v>
      </c>
      <c r="G87">
        <v>94.25</v>
      </c>
    </row>
    <row r="88" spans="2:7" x14ac:dyDescent="0.2">
      <c r="B88">
        <v>27</v>
      </c>
      <c r="C88" t="s">
        <v>165</v>
      </c>
      <c r="D88">
        <v>95</v>
      </c>
      <c r="E88">
        <v>68</v>
      </c>
      <c r="F88">
        <v>124</v>
      </c>
      <c r="G88">
        <v>88</v>
      </c>
    </row>
    <row r="89" spans="2:7" x14ac:dyDescent="0.2">
      <c r="B89">
        <v>28</v>
      </c>
      <c r="C89" t="s">
        <v>336</v>
      </c>
      <c r="D89">
        <v>74</v>
      </c>
      <c r="E89">
        <v>70</v>
      </c>
      <c r="F89">
        <v>88</v>
      </c>
      <c r="G89">
        <v>91</v>
      </c>
    </row>
    <row r="90" spans="2:7" x14ac:dyDescent="0.2">
      <c r="B90">
        <v>46</v>
      </c>
      <c r="C90" t="s">
        <v>184</v>
      </c>
      <c r="D90">
        <v>60</v>
      </c>
      <c r="E90">
        <v>76</v>
      </c>
      <c r="F90">
        <v>78</v>
      </c>
      <c r="G90">
        <v>101</v>
      </c>
    </row>
    <row r="91" spans="2:7" x14ac:dyDescent="0.2">
      <c r="B91">
        <v>48</v>
      </c>
      <c r="C91" t="s">
        <v>186</v>
      </c>
      <c r="D91">
        <v>100</v>
      </c>
      <c r="E91">
        <v>50</v>
      </c>
      <c r="F91">
        <v>130</v>
      </c>
      <c r="G91">
        <v>65</v>
      </c>
    </row>
    <row r="92" spans="2:7" x14ac:dyDescent="0.2">
      <c r="B92">
        <v>50</v>
      </c>
      <c r="C92" t="s">
        <v>188</v>
      </c>
      <c r="D92">
        <v>60</v>
      </c>
      <c r="E92">
        <v>76</v>
      </c>
      <c r="F92">
        <v>78</v>
      </c>
      <c r="G92">
        <v>101</v>
      </c>
    </row>
    <row r="93" spans="2:7" x14ac:dyDescent="0.2">
      <c r="B93">
        <v>56</v>
      </c>
      <c r="C93" t="s">
        <v>337</v>
      </c>
      <c r="D93">
        <v>51</v>
      </c>
      <c r="E93">
        <v>45</v>
      </c>
      <c r="F93">
        <v>66</v>
      </c>
      <c r="G93">
        <v>59</v>
      </c>
    </row>
    <row r="94" spans="2:7" x14ac:dyDescent="0.2">
      <c r="B94">
        <v>65</v>
      </c>
      <c r="C94" t="s">
        <v>203</v>
      </c>
      <c r="D94">
        <v>290</v>
      </c>
      <c r="E94">
        <v>16</v>
      </c>
      <c r="F94">
        <v>377</v>
      </c>
      <c r="G94">
        <v>21</v>
      </c>
    </row>
    <row r="95" spans="2:7" x14ac:dyDescent="0.2">
      <c r="B95">
        <v>66</v>
      </c>
      <c r="C95" t="s">
        <v>204</v>
      </c>
      <c r="D95">
        <v>240</v>
      </c>
      <c r="E95">
        <v>30</v>
      </c>
      <c r="F95">
        <v>312</v>
      </c>
      <c r="G95">
        <v>39</v>
      </c>
    </row>
    <row r="96" spans="2:7" x14ac:dyDescent="0.2">
      <c r="B96">
        <v>69</v>
      </c>
      <c r="C96" t="s">
        <v>207</v>
      </c>
      <c r="D96">
        <v>499</v>
      </c>
      <c r="E96">
        <v>62.375</v>
      </c>
      <c r="F96">
        <v>649</v>
      </c>
      <c r="G96">
        <v>81.125</v>
      </c>
    </row>
    <row r="98" spans="2:7" x14ac:dyDescent="0.2">
      <c r="D98" s="261" t="s">
        <v>338</v>
      </c>
      <c r="E98" s="261"/>
      <c r="F98" s="261"/>
      <c r="G98" s="261"/>
    </row>
    <row r="99" spans="2:7" x14ac:dyDescent="0.2">
      <c r="B99" t="s">
        <v>339</v>
      </c>
      <c r="D99" t="s">
        <v>340</v>
      </c>
      <c r="E99" t="s">
        <v>341</v>
      </c>
      <c r="F99" t="s">
        <v>342</v>
      </c>
      <c r="G99" t="s">
        <v>343</v>
      </c>
    </row>
    <row r="100" spans="2:7" x14ac:dyDescent="0.2">
      <c r="B100">
        <v>1</v>
      </c>
      <c r="D100" s="203">
        <v>0.4</v>
      </c>
      <c r="E100" s="203">
        <v>0.35</v>
      </c>
      <c r="F100" s="203">
        <v>0.3</v>
      </c>
      <c r="G100" s="203">
        <v>0.2</v>
      </c>
    </row>
    <row r="101" spans="2:7" x14ac:dyDescent="0.2">
      <c r="B101">
        <v>2</v>
      </c>
      <c r="D101" s="203">
        <v>0.35</v>
      </c>
      <c r="E101" s="203">
        <v>0.3</v>
      </c>
      <c r="F101" s="203">
        <v>0.25</v>
      </c>
      <c r="G101" s="203">
        <v>0.15</v>
      </c>
    </row>
    <row r="102" spans="2:7" x14ac:dyDescent="0.2">
      <c r="B102">
        <v>3</v>
      </c>
      <c r="D102" s="203">
        <v>0.25</v>
      </c>
      <c r="E102" s="203">
        <v>0.2</v>
      </c>
      <c r="F102" s="203">
        <v>0.15</v>
      </c>
      <c r="G102" s="203">
        <v>0.05</v>
      </c>
    </row>
  </sheetData>
  <mergeCells count="4">
    <mergeCell ref="D2:W2"/>
    <mergeCell ref="C2:C3"/>
    <mergeCell ref="B2:B3"/>
    <mergeCell ref="D98:G98"/>
  </mergeCells>
  <pageMargins left="0.7" right="0.7" top="0.75" bottom="0.75" header="0.3" footer="0.3"/>
  <pageSetup paperSize="2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showGridLines="0" workbookViewId="0">
      <selection activeCell="E17" sqref="E17"/>
    </sheetView>
  </sheetViews>
  <sheetFormatPr defaultRowHeight="14.25" x14ac:dyDescent="0.2"/>
  <cols>
    <col min="1" max="1" width="5.28515625" style="131" customWidth="1"/>
    <col min="2" max="2" width="28.28515625" style="131" customWidth="1"/>
    <col min="3" max="3" width="25" style="132" customWidth="1"/>
    <col min="4" max="4" width="78.140625" style="131" customWidth="1"/>
    <col min="5" max="16384" width="9.140625" style="131"/>
  </cols>
  <sheetData>
    <row r="2" spans="2:4" ht="18" customHeight="1" x14ac:dyDescent="0.2"/>
    <row r="14" spans="2:4" ht="33.75" customHeight="1" x14ac:dyDescent="0.25">
      <c r="B14" s="133" t="s">
        <v>259</v>
      </c>
      <c r="C14" s="134"/>
      <c r="D14" s="135"/>
    </row>
    <row r="16" spans="2:4" ht="22.5" customHeight="1" x14ac:dyDescent="0.2">
      <c r="B16" s="240"/>
      <c r="C16" s="130" t="s">
        <v>283</v>
      </c>
      <c r="D16" s="130" t="s">
        <v>285</v>
      </c>
    </row>
    <row r="17" spans="2:4" ht="293.25" x14ac:dyDescent="0.2">
      <c r="B17" s="241" t="s">
        <v>388</v>
      </c>
      <c r="C17" s="136" t="s">
        <v>390</v>
      </c>
      <c r="D17" s="136" t="s">
        <v>389</v>
      </c>
    </row>
    <row r="18" spans="2:4" ht="63.75" x14ac:dyDescent="0.2">
      <c r="B18" s="242" t="s">
        <v>290</v>
      </c>
      <c r="C18" s="136" t="s">
        <v>319</v>
      </c>
      <c r="D18" s="136" t="s">
        <v>323</v>
      </c>
    </row>
    <row r="19" spans="2:4" ht="127.5" x14ac:dyDescent="0.2">
      <c r="B19" s="242"/>
      <c r="C19" s="136" t="s">
        <v>312</v>
      </c>
      <c r="D19" s="136" t="s">
        <v>316</v>
      </c>
    </row>
    <row r="20" spans="2:4" ht="38.25" x14ac:dyDescent="0.2">
      <c r="B20" s="242"/>
      <c r="C20" s="136" t="s">
        <v>287</v>
      </c>
      <c r="D20" s="136" t="s">
        <v>313</v>
      </c>
    </row>
    <row r="21" spans="2:4" ht="76.5" x14ac:dyDescent="0.2">
      <c r="B21" s="242"/>
      <c r="C21" s="180" t="s">
        <v>284</v>
      </c>
      <c r="D21" s="136" t="s">
        <v>314</v>
      </c>
    </row>
    <row r="22" spans="2:4" ht="22.5" customHeight="1" x14ac:dyDescent="0.2">
      <c r="B22" s="243"/>
      <c r="C22" s="181" t="s">
        <v>318</v>
      </c>
      <c r="D22" s="24" t="s">
        <v>286</v>
      </c>
    </row>
  </sheetData>
  <sheetProtection password="E6B1" sheet="1" objects="1" scenarios="1" selectLockedCells="1" selectUnlockedCells="1"/>
  <mergeCells count="1">
    <mergeCell ref="B18: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57"/>
  <sheetViews>
    <sheetView showGridLines="0" zoomScale="85" zoomScaleNormal="85" workbookViewId="0"/>
  </sheetViews>
  <sheetFormatPr defaultRowHeight="12.75" x14ac:dyDescent="0.2"/>
  <cols>
    <col min="1" max="1" width="1.42578125" style="35" customWidth="1"/>
    <col min="2" max="2" width="77.28515625" style="35" customWidth="1"/>
    <col min="3" max="3" width="12.85546875" style="35" customWidth="1"/>
    <col min="4" max="4" width="34.28515625" style="35" customWidth="1"/>
    <col min="5" max="6" width="9.140625" style="35" customWidth="1"/>
    <col min="7" max="16384" width="9.140625" style="35"/>
  </cols>
  <sheetData>
    <row r="1" spans="2:6" s="30" customFormat="1" ht="14.25" x14ac:dyDescent="0.2">
      <c r="E1" s="31"/>
    </row>
    <row r="2" spans="2:6" s="30" customFormat="1" ht="103.5" customHeight="1" x14ac:dyDescent="0.35">
      <c r="B2" s="32"/>
      <c r="C2" s="32"/>
      <c r="E2" s="31"/>
    </row>
    <row r="3" spans="2:6" s="30" customFormat="1" ht="72.75" customHeight="1" x14ac:dyDescent="0.35">
      <c r="B3" s="32"/>
      <c r="C3" s="32"/>
      <c r="E3" s="31"/>
    </row>
    <row r="4" spans="2:6" s="30" customFormat="1" ht="9.75" customHeight="1" x14ac:dyDescent="0.35">
      <c r="B4" s="32"/>
      <c r="C4" s="32"/>
      <c r="E4" s="31"/>
    </row>
    <row r="5" spans="2:6" s="30" customFormat="1" ht="14.25" x14ac:dyDescent="0.2">
      <c r="B5" s="33" t="s">
        <v>260</v>
      </c>
      <c r="D5" s="47" t="s">
        <v>262</v>
      </c>
      <c r="E5" s="31"/>
    </row>
    <row r="7" spans="2:6" x14ac:dyDescent="0.2">
      <c r="B7" s="55" t="s">
        <v>382</v>
      </c>
      <c r="C7" s="55"/>
      <c r="D7" s="55"/>
    </row>
    <row r="9" spans="2:6" ht="25.5" customHeight="1" x14ac:dyDescent="0.4">
      <c r="B9" s="53" t="s">
        <v>355</v>
      </c>
      <c r="C9" s="53"/>
      <c r="D9" s="54"/>
      <c r="E9" s="36"/>
      <c r="F9" s="36"/>
    </row>
    <row r="10" spans="2:6" ht="24.75" customHeight="1" x14ac:dyDescent="0.25">
      <c r="B10" s="52" t="s">
        <v>216</v>
      </c>
      <c r="C10" s="52"/>
      <c r="D10" s="36"/>
      <c r="E10" s="37"/>
      <c r="F10" s="38"/>
    </row>
    <row r="11" spans="2:6" ht="18" customHeight="1" x14ac:dyDescent="0.2">
      <c r="B11" s="38" t="s">
        <v>275</v>
      </c>
      <c r="C11" s="38"/>
      <c r="D11" s="38"/>
      <c r="E11" s="38"/>
      <c r="F11" s="38"/>
    </row>
    <row r="12" spans="2:6" s="41" customFormat="1" ht="30" customHeight="1" x14ac:dyDescent="0.2">
      <c r="B12" s="42" t="s">
        <v>112</v>
      </c>
      <c r="C12" s="42"/>
      <c r="D12" s="56"/>
    </row>
    <row r="13" spans="2:6" ht="18" customHeight="1" x14ac:dyDescent="0.2">
      <c r="B13" s="38" t="s">
        <v>360</v>
      </c>
      <c r="C13" s="38"/>
      <c r="D13" s="38"/>
      <c r="E13" s="38"/>
      <c r="F13" s="38"/>
    </row>
    <row r="14" spans="2:6" s="41" customFormat="1" ht="30" customHeight="1" x14ac:dyDescent="0.2">
      <c r="B14" s="42" t="s">
        <v>227</v>
      </c>
      <c r="C14" s="42"/>
      <c r="D14" s="56"/>
    </row>
    <row r="15" spans="2:6" ht="18" customHeight="1" x14ac:dyDescent="0.2">
      <c r="B15" s="38" t="s">
        <v>157</v>
      </c>
      <c r="C15" s="38"/>
      <c r="D15" s="38"/>
      <c r="E15" s="38"/>
      <c r="F15" s="38"/>
    </row>
    <row r="16" spans="2:6" s="41" customFormat="1" ht="30" customHeight="1" x14ac:dyDescent="0.2">
      <c r="B16" s="42" t="s">
        <v>228</v>
      </c>
      <c r="C16" s="42"/>
      <c r="D16" s="56"/>
    </row>
    <row r="17" spans="2:12" s="41" customFormat="1" ht="30" customHeight="1" x14ac:dyDescent="0.2">
      <c r="B17" s="42" t="s">
        <v>229</v>
      </c>
      <c r="C17" s="42"/>
      <c r="D17" s="56"/>
    </row>
    <row r="18" spans="2:12" ht="18" customHeight="1" x14ac:dyDescent="0.2">
      <c r="B18" s="38" t="s">
        <v>11</v>
      </c>
      <c r="C18" s="38"/>
      <c r="D18" s="38"/>
      <c r="E18" s="38"/>
      <c r="F18" s="38"/>
    </row>
    <row r="19" spans="2:12" s="41" customFormat="1" ht="30" customHeight="1" x14ac:dyDescent="0.2">
      <c r="B19" s="42" t="s">
        <v>230</v>
      </c>
      <c r="C19" s="42"/>
      <c r="D19" s="56"/>
    </row>
    <row r="20" spans="2:12" s="41" customFormat="1" ht="30" customHeight="1" x14ac:dyDescent="0.2">
      <c r="B20" s="42" t="s">
        <v>158</v>
      </c>
      <c r="C20" s="42"/>
      <c r="D20" s="56"/>
    </row>
    <row r="21" spans="2:12" s="41" customFormat="1" ht="30" customHeight="1" x14ac:dyDescent="0.2">
      <c r="B21" s="42" t="s">
        <v>159</v>
      </c>
      <c r="C21" s="42"/>
      <c r="D21" s="56"/>
    </row>
    <row r="22" spans="2:12" ht="18" customHeight="1" x14ac:dyDescent="0.2">
      <c r="B22" s="38" t="s">
        <v>361</v>
      </c>
      <c r="C22" s="38"/>
      <c r="D22" s="38"/>
      <c r="E22" s="38"/>
      <c r="F22" s="38"/>
    </row>
    <row r="23" spans="2:12" s="41" customFormat="1" ht="30" customHeight="1" x14ac:dyDescent="0.2">
      <c r="B23" s="42" t="s">
        <v>231</v>
      </c>
      <c r="C23" s="42"/>
      <c r="D23" s="56"/>
    </row>
    <row r="24" spans="2:12" s="41" customFormat="1" ht="30" customHeight="1" x14ac:dyDescent="0.2">
      <c r="B24" s="42" t="s">
        <v>232</v>
      </c>
      <c r="C24" s="42"/>
      <c r="D24" s="56"/>
    </row>
    <row r="25" spans="2:12" s="41" customFormat="1" ht="30" customHeight="1" x14ac:dyDescent="0.2">
      <c r="B25" s="42" t="s">
        <v>233</v>
      </c>
      <c r="C25" s="42"/>
      <c r="D25" s="56"/>
    </row>
    <row r="26" spans="2:12" s="41" customFormat="1" ht="45" customHeight="1" x14ac:dyDescent="0.2">
      <c r="B26" s="42" t="s">
        <v>276</v>
      </c>
      <c r="C26" s="42"/>
      <c r="D26" s="56"/>
    </row>
    <row r="27" spans="2:12" s="41" customFormat="1" ht="45" customHeight="1" x14ac:dyDescent="0.2">
      <c r="B27" s="42" t="s">
        <v>277</v>
      </c>
      <c r="C27" s="42"/>
      <c r="D27" s="124"/>
    </row>
    <row r="28" spans="2:12" ht="18" customHeight="1" x14ac:dyDescent="0.2">
      <c r="B28" s="38" t="s">
        <v>362</v>
      </c>
      <c r="C28" s="38"/>
      <c r="D28" s="38"/>
      <c r="E28" s="38"/>
      <c r="F28" s="38"/>
    </row>
    <row r="29" spans="2:12" s="41" customFormat="1" ht="76.5" x14ac:dyDescent="0.2">
      <c r="B29" s="42" t="s">
        <v>380</v>
      </c>
      <c r="C29" s="42"/>
      <c r="D29" s="56"/>
    </row>
    <row r="30" spans="2:12" ht="18" customHeight="1" x14ac:dyDescent="0.2">
      <c r="B30" s="38" t="s">
        <v>152</v>
      </c>
      <c r="C30" s="38"/>
      <c r="D30" s="38"/>
      <c r="E30" s="38"/>
      <c r="F30" s="38"/>
    </row>
    <row r="31" spans="2:12" s="41" customFormat="1" ht="45" customHeight="1" x14ac:dyDescent="0.2">
      <c r="B31" s="42" t="s">
        <v>160</v>
      </c>
      <c r="C31" s="42"/>
      <c r="D31" s="56"/>
    </row>
    <row r="32" spans="2:12" s="41" customFormat="1" ht="18" customHeight="1" x14ac:dyDescent="0.2">
      <c r="B32" s="46" t="s">
        <v>353</v>
      </c>
      <c r="C32" s="46"/>
      <c r="D32" s="64"/>
      <c r="E32" s="46"/>
      <c r="F32" s="46"/>
      <c r="L32" s="79"/>
    </row>
    <row r="33" spans="2:6" s="41" customFormat="1" ht="18" customHeight="1" x14ac:dyDescent="0.2">
      <c r="B33" s="42" t="s">
        <v>352</v>
      </c>
      <c r="C33" s="42"/>
      <c r="D33" s="206"/>
    </row>
    <row r="35" spans="2:6" ht="18" customHeight="1" x14ac:dyDescent="0.2">
      <c r="B35" s="38" t="s">
        <v>245</v>
      </c>
      <c r="C35" s="38"/>
      <c r="D35" s="38"/>
      <c r="E35" s="38"/>
      <c r="F35" s="38"/>
    </row>
    <row r="36" spans="2:6" ht="18" customHeight="1" x14ac:dyDescent="0.2">
      <c r="B36" s="44" t="s">
        <v>360</v>
      </c>
      <c r="C36" s="44"/>
      <c r="D36" s="48">
        <f>IF(D14="Yes",1,0)</f>
        <v>0</v>
      </c>
    </row>
    <row r="37" spans="2:6" ht="18" customHeight="1" x14ac:dyDescent="0.2">
      <c r="B37" s="45" t="s">
        <v>157</v>
      </c>
      <c r="C37" s="45"/>
      <c r="D37" s="49">
        <f>IF(AND(D16="Yes",OR(D17="Yes",D17="NA")),1,0)</f>
        <v>0</v>
      </c>
    </row>
    <row r="38" spans="2:6" ht="18" customHeight="1" x14ac:dyDescent="0.2">
      <c r="B38" s="45" t="s">
        <v>11</v>
      </c>
      <c r="C38" s="45"/>
      <c r="D38" s="49">
        <f>IF(D21="NA",IF(AND(D19="Yes",D20="Yes"),1,0),IF(AND(D19="Yes",D20="Yes",D21="Yes"),1,0))</f>
        <v>0</v>
      </c>
    </row>
    <row r="39" spans="2:6" ht="18" customHeight="1" x14ac:dyDescent="0.2">
      <c r="B39" s="45" t="s">
        <v>9</v>
      </c>
      <c r="C39" s="45"/>
      <c r="D39" s="49">
        <f>IF(COUNTIF(D23:D27,"&lt;&gt;NA")&lt;&gt;0,IF(COUNTIF(D23:D27,"Yes")=COUNTIF(D23:D27,"&lt;&gt;NA"),1,0),0)</f>
        <v>0</v>
      </c>
    </row>
    <row r="40" spans="2:6" ht="18" customHeight="1" x14ac:dyDescent="0.2">
      <c r="B40" s="207" t="s">
        <v>362</v>
      </c>
      <c r="C40" s="207"/>
      <c r="D40" s="208">
        <f>IF(D29="Yes",1,0)</f>
        <v>0</v>
      </c>
    </row>
    <row r="41" spans="2:6" ht="18" customHeight="1" x14ac:dyDescent="0.2">
      <c r="B41" s="207" t="s">
        <v>152</v>
      </c>
      <c r="C41" s="207"/>
      <c r="D41" s="208">
        <f>IF(D31="Yes",1,0)</f>
        <v>0</v>
      </c>
    </row>
    <row r="42" spans="2:6" ht="18" customHeight="1" x14ac:dyDescent="0.2">
      <c r="B42" s="207" t="s">
        <v>354</v>
      </c>
      <c r="C42" s="207"/>
      <c r="D42" s="208">
        <f>D33*2</f>
        <v>0</v>
      </c>
    </row>
    <row r="43" spans="2:6" ht="18" customHeight="1" x14ac:dyDescent="0.2">
      <c r="B43" s="209" t="s">
        <v>52</v>
      </c>
      <c r="C43" s="209"/>
      <c r="D43" s="210">
        <f>IF(SUM(D36:D41)&gt;5,5,SUM(D36:D41))</f>
        <v>0</v>
      </c>
    </row>
    <row r="44" spans="2:6" ht="18" customHeight="1" thickBot="1" x14ac:dyDescent="0.25">
      <c r="B44" s="85" t="s">
        <v>161</v>
      </c>
      <c r="C44" s="85"/>
      <c r="D44" s="69">
        <v>5</v>
      </c>
    </row>
    <row r="45" spans="2:6" ht="13.5" thickTop="1" x14ac:dyDescent="0.2"/>
    <row r="47" spans="2:6" ht="24.75" customHeight="1" x14ac:dyDescent="0.4">
      <c r="B47" s="53" t="s">
        <v>370</v>
      </c>
      <c r="C47" s="53"/>
      <c r="D47" s="54"/>
      <c r="E47" s="37"/>
      <c r="F47" s="38"/>
    </row>
    <row r="48" spans="2:6" ht="16.5" customHeight="1" x14ac:dyDescent="0.25">
      <c r="B48" s="52"/>
      <c r="C48" s="52"/>
      <c r="D48" s="36"/>
      <c r="E48" s="37"/>
      <c r="F48" s="38"/>
    </row>
    <row r="49" spans="2:6" ht="18" customHeight="1" x14ac:dyDescent="0.2">
      <c r="B49" s="43" t="s">
        <v>220</v>
      </c>
      <c r="C49" s="43"/>
      <c r="D49" s="56"/>
      <c r="E49" s="35" t="s">
        <v>217</v>
      </c>
    </row>
    <row r="50" spans="2:6" ht="18" customHeight="1" x14ac:dyDescent="0.2">
      <c r="B50" s="43" t="s">
        <v>218</v>
      </c>
      <c r="C50" s="43"/>
      <c r="D50" s="56"/>
      <c r="E50" s="35" t="s">
        <v>217</v>
      </c>
    </row>
    <row r="52" spans="2:6" s="41" customFormat="1" ht="18" customHeight="1" thickBot="1" x14ac:dyDescent="0.25">
      <c r="B52" s="85" t="s">
        <v>219</v>
      </c>
      <c r="C52" s="85"/>
      <c r="D52" s="69">
        <f>IFERROR(D50/D49,0)</f>
        <v>0</v>
      </c>
      <c r="E52" s="85" t="s">
        <v>263</v>
      </c>
    </row>
    <row r="53" spans="2:6" ht="13.5" thickTop="1" x14ac:dyDescent="0.2"/>
    <row r="54" spans="2:6" ht="18" customHeight="1" x14ac:dyDescent="0.2">
      <c r="B54" s="46" t="s">
        <v>245</v>
      </c>
      <c r="C54" s="46"/>
      <c r="D54" s="46"/>
      <c r="E54" s="46"/>
      <c r="F54" s="46"/>
    </row>
    <row r="55" spans="2:6" ht="18" customHeight="1" thickBot="1" x14ac:dyDescent="0.25">
      <c r="B55" s="85" t="s">
        <v>52</v>
      </c>
      <c r="C55" s="85"/>
      <c r="D55" s="69">
        <f>IF(D52&gt;F55,D56,0)</f>
        <v>0</v>
      </c>
      <c r="F55" s="40">
        <v>0.15</v>
      </c>
    </row>
    <row r="56" spans="2:6" ht="18" customHeight="1" thickTop="1" thickBot="1" x14ac:dyDescent="0.25">
      <c r="B56" s="85" t="s">
        <v>161</v>
      </c>
      <c r="C56" s="85"/>
      <c r="D56" s="69">
        <v>1</v>
      </c>
    </row>
    <row r="57" spans="2:6" ht="13.5" thickTop="1" x14ac:dyDescent="0.2"/>
  </sheetData>
  <sheetProtection password="E6B1" sheet="1" objects="1" scenarios="1"/>
  <conditionalFormatting sqref="B23:D26 B31:D31">
    <cfRule type="expression" dxfId="7" priority="4">
      <formula>$D$12="natural ventilation"</formula>
    </cfRule>
  </conditionalFormatting>
  <conditionalFormatting sqref="B27:D27">
    <cfRule type="expression" dxfId="6" priority="3">
      <formula>$D$12="mechanical cooling"</formula>
    </cfRule>
  </conditionalFormatting>
  <conditionalFormatting sqref="C29:D29">
    <cfRule type="expression" dxfId="5" priority="2">
      <formula>$D$12="natural ventilation"</formula>
    </cfRule>
  </conditionalFormatting>
  <dataValidations disablePrompts="1" xWindow="931" yWindow="612" count="3">
    <dataValidation type="list" allowBlank="1" showInputMessage="1" showErrorMessage="1" sqref="D29 D17 D21 D23:D27">
      <formula1>OptionNA</formula1>
    </dataValidation>
    <dataValidation type="list" allowBlank="1" showInputMessage="1" showErrorMessage="1" sqref="D19:D20 D14 D16 D31">
      <formula1>Option</formula1>
    </dataValidation>
    <dataValidation type="list" allowBlank="1" showInputMessage="1" showErrorMessage="1" promptTitle="Comfort control strategy" prompt="Mechanical cooling: Ventilation is via  mechanical cooling equipment (i.e. air conditioning)_x000a_Natural ventilation: Ventilation is via  natural ventilation_x000a_Where a space contains both, the primary method of operation should be chosen. " sqref="D12">
      <formula1>ComfortControl</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85"/>
  <sheetViews>
    <sheetView showGridLines="0" zoomScale="115" zoomScaleNormal="115" workbookViewId="0"/>
  </sheetViews>
  <sheetFormatPr defaultRowHeight="12.75" x14ac:dyDescent="0.2"/>
  <cols>
    <col min="1" max="1" width="1.42578125" style="35" customWidth="1"/>
    <col min="2" max="2" width="81.85546875" style="35" customWidth="1"/>
    <col min="3" max="3" width="9.85546875" style="35" customWidth="1"/>
    <col min="4" max="4" width="24.85546875" style="35" customWidth="1"/>
    <col min="5" max="5" width="13.42578125" style="35" customWidth="1"/>
    <col min="6" max="8" width="9.140625" style="35" hidden="1" customWidth="1"/>
    <col min="9" max="10" width="2.7109375" style="35" hidden="1" customWidth="1"/>
    <col min="11" max="11" width="14.5703125" style="35" hidden="1" customWidth="1"/>
    <col min="12" max="12" width="17.42578125" style="35" hidden="1" customWidth="1"/>
    <col min="13" max="13" width="9.140625" style="35" hidden="1" customWidth="1"/>
    <col min="14" max="14" width="20.42578125" style="35" hidden="1" customWidth="1"/>
    <col min="15" max="16" width="13.42578125" style="35" hidden="1" customWidth="1"/>
    <col min="17" max="18" width="9.140625" style="35" hidden="1" customWidth="1"/>
    <col min="19" max="35" width="9.140625" style="35" customWidth="1"/>
    <col min="36" max="16384" width="9.140625" style="35"/>
  </cols>
  <sheetData>
    <row r="1" spans="2:20" s="30" customFormat="1" ht="14.25" x14ac:dyDescent="0.2">
      <c r="E1" s="31"/>
    </row>
    <row r="2" spans="2:20" s="30" customFormat="1" ht="103.5" customHeight="1" x14ac:dyDescent="0.35">
      <c r="B2" s="32"/>
      <c r="C2" s="32"/>
      <c r="E2" s="31"/>
    </row>
    <row r="3" spans="2:20" s="30" customFormat="1" ht="72.75" customHeight="1" x14ac:dyDescent="0.35">
      <c r="B3" s="32"/>
      <c r="C3" s="32"/>
      <c r="E3" s="31"/>
    </row>
    <row r="4" spans="2:20" s="30" customFormat="1" ht="9.75" customHeight="1" x14ac:dyDescent="0.35">
      <c r="B4" s="32"/>
      <c r="C4" s="32"/>
      <c r="E4" s="31"/>
    </row>
    <row r="5" spans="2:20" s="30" customFormat="1" ht="14.25" x14ac:dyDescent="0.2">
      <c r="B5" s="33" t="s">
        <v>260</v>
      </c>
      <c r="C5" s="35"/>
      <c r="D5" s="34" t="s">
        <v>261</v>
      </c>
      <c r="E5" s="31"/>
    </row>
    <row r="6" spans="2:20" x14ac:dyDescent="0.2">
      <c r="F6" s="35" t="s">
        <v>258</v>
      </c>
      <c r="G6" s="35" t="s">
        <v>258</v>
      </c>
      <c r="H6" s="35" t="s">
        <v>258</v>
      </c>
      <c r="I6" s="35" t="s">
        <v>258</v>
      </c>
      <c r="J6" s="35" t="s">
        <v>258</v>
      </c>
      <c r="K6" s="35" t="s">
        <v>258</v>
      </c>
      <c r="L6" s="35" t="s">
        <v>258</v>
      </c>
      <c r="M6" s="35" t="s">
        <v>258</v>
      </c>
      <c r="N6" s="35" t="s">
        <v>258</v>
      </c>
      <c r="O6" s="35" t="s">
        <v>258</v>
      </c>
      <c r="P6" s="35" t="s">
        <v>258</v>
      </c>
      <c r="Q6" s="35" t="s">
        <v>258</v>
      </c>
      <c r="R6" s="35" t="s">
        <v>258</v>
      </c>
    </row>
    <row r="7" spans="2:20" x14ac:dyDescent="0.2">
      <c r="B7" s="55" t="s">
        <v>383</v>
      </c>
    </row>
    <row r="9" spans="2:20" ht="26.25" x14ac:dyDescent="0.4">
      <c r="B9" s="53" t="s">
        <v>356</v>
      </c>
      <c r="C9" s="53"/>
      <c r="D9" s="54"/>
    </row>
    <row r="10" spans="2:20" ht="16.5" customHeight="1" x14ac:dyDescent="0.25">
      <c r="B10" s="52" t="s">
        <v>264</v>
      </c>
      <c r="C10" s="52"/>
      <c r="D10" s="36"/>
      <c r="E10" s="36"/>
      <c r="F10" s="38"/>
    </row>
    <row r="11" spans="2:20" ht="18" customHeight="1" x14ac:dyDescent="0.2">
      <c r="B11" s="60" t="s">
        <v>0</v>
      </c>
      <c r="C11" s="41"/>
      <c r="D11" s="56"/>
      <c r="E11" s="41" t="s">
        <v>2</v>
      </c>
    </row>
    <row r="12" spans="2:20" ht="18" customHeight="1" x14ac:dyDescent="0.2">
      <c r="B12" s="60" t="s">
        <v>1</v>
      </c>
      <c r="C12" s="41"/>
      <c r="D12" s="56"/>
      <c r="E12" s="41" t="s">
        <v>2</v>
      </c>
    </row>
    <row r="13" spans="2:20" ht="18" customHeight="1" x14ac:dyDescent="0.2">
      <c r="B13" s="60"/>
      <c r="C13" s="41"/>
      <c r="D13" s="41"/>
      <c r="E13" s="41"/>
      <c r="F13" s="41"/>
      <c r="G13" s="41"/>
      <c r="H13" s="41"/>
      <c r="I13" s="41"/>
      <c r="J13" s="41"/>
      <c r="K13" s="41"/>
      <c r="L13" s="41"/>
      <c r="M13" s="41"/>
      <c r="N13" s="41"/>
      <c r="O13" s="41"/>
      <c r="P13" s="41"/>
      <c r="Q13" s="41"/>
      <c r="R13" s="41"/>
      <c r="S13" s="41"/>
      <c r="T13" s="41"/>
    </row>
    <row r="14" spans="2:20" ht="18" customHeight="1" x14ac:dyDescent="0.2">
      <c r="B14" s="60" t="s">
        <v>7</v>
      </c>
      <c r="C14" s="41"/>
      <c r="D14" s="56"/>
      <c r="E14" s="41" t="s">
        <v>6</v>
      </c>
    </row>
    <row r="15" spans="2:20" ht="18" customHeight="1" x14ac:dyDescent="0.2">
      <c r="B15" s="60" t="s">
        <v>8</v>
      </c>
      <c r="C15" s="41"/>
      <c r="D15" s="56"/>
      <c r="E15" s="41" t="s">
        <v>6</v>
      </c>
    </row>
    <row r="16" spans="2:20" ht="18" customHeight="1" x14ac:dyDescent="0.2">
      <c r="B16" s="60"/>
      <c r="C16" s="41"/>
      <c r="D16" s="61"/>
      <c r="E16" s="41"/>
    </row>
    <row r="17" spans="2:6" ht="18" customHeight="1" x14ac:dyDescent="0.2">
      <c r="B17" s="60" t="s">
        <v>4</v>
      </c>
      <c r="C17" s="41"/>
      <c r="D17" s="56"/>
      <c r="E17" s="62"/>
    </row>
    <row r="18" spans="2:6" ht="18" customHeight="1" x14ac:dyDescent="0.2">
      <c r="B18" s="237" t="s">
        <v>375</v>
      </c>
      <c r="C18" s="41"/>
      <c r="D18" s="232"/>
      <c r="E18" s="63"/>
    </row>
    <row r="19" spans="2:6" ht="18" customHeight="1" x14ac:dyDescent="0.2">
      <c r="B19" s="237" t="s">
        <v>377</v>
      </c>
      <c r="C19" s="41"/>
      <c r="D19" s="238"/>
      <c r="E19" s="41"/>
      <c r="F19" s="35">
        <f>IF(D19="yes",1,0)</f>
        <v>0</v>
      </c>
    </row>
    <row r="20" spans="2:6" ht="18" customHeight="1" x14ac:dyDescent="0.2">
      <c r="B20" s="60" t="s">
        <v>116</v>
      </c>
      <c r="C20" s="41"/>
      <c r="D20" s="220"/>
      <c r="E20" s="63"/>
    </row>
    <row r="21" spans="2:6" ht="18" customHeight="1" x14ac:dyDescent="0.2">
      <c r="B21" s="60" t="s">
        <v>134</v>
      </c>
      <c r="C21" s="41"/>
      <c r="D21" s="56"/>
      <c r="E21" s="63"/>
    </row>
    <row r="22" spans="2:6" x14ac:dyDescent="0.2">
      <c r="B22" s="41"/>
      <c r="C22" s="41"/>
      <c r="D22" s="61"/>
      <c r="E22" s="41"/>
    </row>
    <row r="23" spans="2:6" ht="18" customHeight="1" x14ac:dyDescent="0.2">
      <c r="B23" s="46" t="s">
        <v>269</v>
      </c>
      <c r="C23" s="46"/>
      <c r="D23" s="64"/>
      <c r="E23" s="46"/>
    </row>
    <row r="24" spans="2:6" ht="18" customHeight="1" x14ac:dyDescent="0.2">
      <c r="B24" s="65" t="s">
        <v>265</v>
      </c>
      <c r="C24" s="65"/>
      <c r="D24" s="66" t="str">
        <f>IF(ISBLANK(D11)=TRUE,"",D11+0.5)</f>
        <v/>
      </c>
      <c r="E24" s="65" t="s">
        <v>2</v>
      </c>
    </row>
    <row r="25" spans="2:6" ht="18" customHeight="1" x14ac:dyDescent="0.2">
      <c r="B25" s="65" t="s">
        <v>266</v>
      </c>
      <c r="C25" s="65"/>
      <c r="D25" s="66" t="str">
        <f>IF(ISBLANK(D12)=TRUE,"",D12+0.5)</f>
        <v/>
      </c>
      <c r="E25" s="65" t="s">
        <v>2</v>
      </c>
    </row>
    <row r="26" spans="2:6" ht="18" customHeight="1" x14ac:dyDescent="0.2">
      <c r="B26" s="65" t="s">
        <v>267</v>
      </c>
      <c r="C26" s="65"/>
      <c r="D26" s="66" t="str">
        <f>IFERROR(VLOOKUP($D$17,Reference!$B$4:$W$72,D24/0.5+2,FALSE),"")</f>
        <v/>
      </c>
      <c r="E26" s="65" t="s">
        <v>6</v>
      </c>
    </row>
    <row r="27" spans="2:6" ht="18" customHeight="1" x14ac:dyDescent="0.2">
      <c r="B27" s="65" t="s">
        <v>268</v>
      </c>
      <c r="C27" s="65"/>
      <c r="D27" s="66" t="str">
        <f>IFERROR(VLOOKUP($D$17,Reference!$B$4:$W$72,D25/0.5+2,FALSE),"")</f>
        <v/>
      </c>
      <c r="E27" s="65" t="s">
        <v>6</v>
      </c>
    </row>
    <row r="28" spans="2:6" ht="18" customHeight="1" x14ac:dyDescent="0.2">
      <c r="B28" s="65" t="s">
        <v>5</v>
      </c>
      <c r="C28" s="65"/>
      <c r="D28" s="66" t="str">
        <f>IFERROR(VLOOKUP($D$17,Reference!$B$4:$W$72,22,FALSE),"")</f>
        <v/>
      </c>
      <c r="E28" s="65" t="s">
        <v>6</v>
      </c>
    </row>
    <row r="29" spans="2:6" ht="18" customHeight="1" x14ac:dyDescent="0.2">
      <c r="B29" s="65"/>
      <c r="C29" s="65"/>
      <c r="D29" s="66"/>
      <c r="E29" s="65"/>
    </row>
    <row r="30" spans="2:6" ht="18" customHeight="1" thickBot="1" x14ac:dyDescent="0.25">
      <c r="B30" s="67" t="s">
        <v>272</v>
      </c>
      <c r="C30" s="68"/>
      <c r="D30" s="69" t="str">
        <f>IF(ISBLANK(D14)=TRUE,"",IF(D14&lt;=D26,"PASS","FAIL"))</f>
        <v/>
      </c>
    </row>
    <row r="31" spans="2:6" ht="18" customHeight="1" thickTop="1" thickBot="1" x14ac:dyDescent="0.25">
      <c r="B31" s="67" t="s">
        <v>273</v>
      </c>
      <c r="C31" s="68"/>
      <c r="D31" s="69" t="str">
        <f>IF(ISBLANK(D15)=TRUE,"",IF(D15&lt;=D27,"PASS","FAIL"))</f>
        <v/>
      </c>
    </row>
    <row r="32" spans="2:6" ht="18" customHeight="1" thickTop="1" x14ac:dyDescent="0.2">
      <c r="B32" s="41"/>
      <c r="C32" s="41"/>
      <c r="D32" s="61"/>
      <c r="E32" s="41"/>
    </row>
    <row r="33" spans="2:23" ht="18" customHeight="1" thickBot="1" x14ac:dyDescent="0.25">
      <c r="B33" s="67" t="s">
        <v>54</v>
      </c>
      <c r="C33" s="68"/>
      <c r="D33" s="70">
        <f>IFERROR(IF(ISBLANK(D14)=TRUE,0,MIN(MAX(1-(D14-D28)/(D26-D28),0),1)),0)</f>
        <v>0</v>
      </c>
    </row>
    <row r="34" spans="2:23" ht="18" customHeight="1" thickTop="1" x14ac:dyDescent="0.2">
      <c r="D34" s="71"/>
    </row>
    <row r="35" spans="2:23" ht="18" customHeight="1" x14ac:dyDescent="0.2">
      <c r="B35" s="46" t="s">
        <v>10</v>
      </c>
      <c r="C35" s="38"/>
      <c r="D35" s="72"/>
      <c r="E35" s="38"/>
      <c r="F35" s="35" t="s">
        <v>256</v>
      </c>
      <c r="I35" s="73"/>
      <c r="J35" s="73"/>
      <c r="K35" s="73" t="s">
        <v>254</v>
      </c>
      <c r="L35" s="73" t="s">
        <v>255</v>
      </c>
    </row>
    <row r="36" spans="2:23" ht="18" customHeight="1" x14ac:dyDescent="0.2">
      <c r="B36" s="74" t="s">
        <v>11</v>
      </c>
      <c r="C36" s="74"/>
      <c r="D36" s="75"/>
      <c r="E36" s="74"/>
      <c r="K36" s="35">
        <v>3</v>
      </c>
      <c r="L36" s="76">
        <f>1/12</f>
        <v>8.3333333333333329E-2</v>
      </c>
      <c r="U36" s="76"/>
      <c r="W36" s="76"/>
    </row>
    <row r="37" spans="2:23" ht="30" customHeight="1" x14ac:dyDescent="0.2">
      <c r="B37" s="39" t="s">
        <v>153</v>
      </c>
      <c r="C37" s="39"/>
      <c r="D37" s="56"/>
      <c r="F37" s="35">
        <f>IF(D37="Yes",1,0)</f>
        <v>0</v>
      </c>
      <c r="Q37" s="76"/>
      <c r="U37" s="40"/>
    </row>
    <row r="38" spans="2:23" ht="30" customHeight="1" x14ac:dyDescent="0.2">
      <c r="B38" s="39" t="s">
        <v>154</v>
      </c>
      <c r="C38" s="39"/>
      <c r="D38" s="56"/>
      <c r="F38" s="35">
        <f t="shared" ref="F38:F39" si="0">IF(D38="Yes",1,0)</f>
        <v>0</v>
      </c>
    </row>
    <row r="39" spans="2:23" ht="25.5" customHeight="1" x14ac:dyDescent="0.2">
      <c r="B39" s="42" t="s">
        <v>39</v>
      </c>
      <c r="C39" s="42"/>
      <c r="D39" s="56"/>
      <c r="F39" s="35">
        <f t="shared" si="0"/>
        <v>0</v>
      </c>
      <c r="N39" s="231" t="s">
        <v>373</v>
      </c>
      <c r="O39" s="221"/>
      <c r="P39" s="222"/>
    </row>
    <row r="40" spans="2:23" s="41" customFormat="1" ht="18" customHeight="1" x14ac:dyDescent="0.2">
      <c r="B40" s="46" t="s">
        <v>374</v>
      </c>
      <c r="C40" s="46"/>
      <c r="D40" s="64"/>
      <c r="E40" s="46"/>
      <c r="K40" s="41">
        <f>IF(AND(D18="mechanical cooling",F19=1),8,IF(D18="Mechanical cooling",4,IF(AND(D18="mixed",F19=1),10,IF(AND(D18="natural ventilation",F19=1),10,6))))</f>
        <v>6</v>
      </c>
      <c r="L40" s="77">
        <v>0.5</v>
      </c>
      <c r="N40" s="223">
        <v>2</v>
      </c>
      <c r="O40" s="224">
        <v>0.16600000000000001</v>
      </c>
      <c r="P40" s="225"/>
    </row>
    <row r="41" spans="2:23" s="41" customFormat="1" ht="18" customHeight="1" x14ac:dyDescent="0.2">
      <c r="B41" s="78" t="s">
        <v>114</v>
      </c>
      <c r="C41" s="78"/>
      <c r="D41" s="239" t="str">
        <f>IF(OR($D$18="Mechanical Heating/Cooling",$D$18="Mixed"),IF(OR($D$19="Cooling",$D$19="Both"),"Yes","No"),"No")</f>
        <v>No</v>
      </c>
      <c r="E41" s="78"/>
      <c r="F41" s="41" t="s">
        <v>257</v>
      </c>
      <c r="G41" s="41" t="s">
        <v>117</v>
      </c>
      <c r="H41" s="41" t="s">
        <v>118</v>
      </c>
      <c r="N41" s="223" t="s">
        <v>372</v>
      </c>
      <c r="O41" s="226" t="s">
        <v>117</v>
      </c>
      <c r="P41" s="225" t="s">
        <v>118</v>
      </c>
    </row>
    <row r="42" spans="2:23" s="41" customFormat="1" ht="18" customHeight="1" x14ac:dyDescent="0.2">
      <c r="B42" s="42" t="s">
        <v>41</v>
      </c>
      <c r="C42" s="42"/>
      <c r="D42" s="56">
        <v>6</v>
      </c>
      <c r="E42" s="41" t="s">
        <v>2</v>
      </c>
      <c r="F42" s="41">
        <f>IF($D$18="Mixed",$D$20*H42+(1-$D$20)*G42,IF($D$18="Natural Ventilation",H42,G42))</f>
        <v>3</v>
      </c>
      <c r="G42" s="41">
        <f>IF(D42&gt;=5,3,IF(D42&gt;=4,2,IF(D42&gt;=3,1,0)))</f>
        <v>3</v>
      </c>
      <c r="H42" s="41">
        <v>3</v>
      </c>
      <c r="N42" s="233">
        <f>IF(AND(D18="Mechanical Heating/Cooling",D19&lt;&gt;"Heating"),O42,IF(AND(D18="Mixed",D19&lt;&gt;"Heating"),(1-D20)*O42,0))</f>
        <v>0</v>
      </c>
      <c r="O42" s="235">
        <f>IF(AND(D42&gt;=3,D43="Yes"),2,0)</f>
        <v>2</v>
      </c>
      <c r="P42" s="227">
        <v>0</v>
      </c>
    </row>
    <row r="43" spans="2:23" s="41" customFormat="1" ht="18" customHeight="1" x14ac:dyDescent="0.2">
      <c r="B43" s="42" t="s">
        <v>49</v>
      </c>
      <c r="C43" s="42"/>
      <c r="D43" s="56" t="s">
        <v>63</v>
      </c>
      <c r="F43" s="41">
        <f>IF($D$18="Mixed",$D$20*H43+(1-$D$20)*G43,IF($D$18="Natural Ventilation",H43,G43))</f>
        <v>1</v>
      </c>
      <c r="G43" s="41">
        <f>IF(D43="Yes",1,0)</f>
        <v>1</v>
      </c>
      <c r="H43" s="41">
        <v>1</v>
      </c>
      <c r="N43" s="223"/>
      <c r="O43" s="226"/>
      <c r="P43" s="226"/>
    </row>
    <row r="44" spans="2:23" s="41" customFormat="1" ht="18" customHeight="1" x14ac:dyDescent="0.2">
      <c r="B44" s="78" t="s">
        <v>379</v>
      </c>
      <c r="C44" s="78"/>
      <c r="D44" s="239" t="str">
        <f>IF(OR($D$18="Mechanical Heating/Cooling",$D$18="Mixed"),IF(OR($D$19="Heating",$D$19="Both"),"Yes","No"),"No")</f>
        <v>No</v>
      </c>
      <c r="E44" s="78"/>
      <c r="F44" s="41" t="s">
        <v>257</v>
      </c>
      <c r="G44" s="41" t="s">
        <v>117</v>
      </c>
      <c r="H44" s="41" t="s">
        <v>118</v>
      </c>
      <c r="N44" s="223" t="s">
        <v>372</v>
      </c>
      <c r="O44" s="226" t="s">
        <v>117</v>
      </c>
      <c r="P44" s="225" t="s">
        <v>118</v>
      </c>
    </row>
    <row r="45" spans="2:23" s="41" customFormat="1" ht="18" customHeight="1" x14ac:dyDescent="0.2">
      <c r="B45" s="42" t="s">
        <v>42</v>
      </c>
      <c r="C45" s="42"/>
      <c r="D45" s="56">
        <v>9</v>
      </c>
      <c r="E45" s="41" t="s">
        <v>2</v>
      </c>
      <c r="F45" s="41">
        <f>IF($D$18="Mixed",$D$20*H45+(1-$D$20)*G45,IF($D$18="Natural Ventilation",H45,G45))</f>
        <v>0</v>
      </c>
      <c r="G45" s="41">
        <f>IF(F19=0,0,IF(D45&gt;=5,3,IF(D45&gt;=4,2,IF(D45&gt;=3,1,0))))</f>
        <v>0</v>
      </c>
      <c r="H45" s="41">
        <f>IF(F19=0,0,IF(D45&gt;=5,3,IF(D45&gt;=4,2,IF(D45&gt;=3,1,0))))</f>
        <v>0</v>
      </c>
      <c r="N45" s="233">
        <f>(IF(AND($D$18="Mixed",$D$19="Heating"),$D$20*P$45+(1-$D$20)*O$45,IF(AND($D$18="Mechanical Heating/Cooling",$D$19="Heating"),O$45,0)))</f>
        <v>0</v>
      </c>
      <c r="O45" s="235">
        <f>IF(AND(D45&gt;=3,D46="Yes"),2,0)</f>
        <v>0</v>
      </c>
      <c r="P45" s="227">
        <v>0</v>
      </c>
    </row>
    <row r="46" spans="2:23" s="41" customFormat="1" ht="18" customHeight="1" x14ac:dyDescent="0.2">
      <c r="B46" s="42" t="s">
        <v>40</v>
      </c>
      <c r="C46" s="42"/>
      <c r="D46" s="56" t="s">
        <v>64</v>
      </c>
      <c r="F46" s="41">
        <f>IF($D$18="Mixed",$D$20*H46+(1-$D$20)*G46,IF($D$18="Natural Ventilation",H46,G46))</f>
        <v>0</v>
      </c>
      <c r="G46" s="41">
        <f>IF(F19=0,0,IF(D46="Yes",1,0))</f>
        <v>0</v>
      </c>
      <c r="H46" s="41">
        <f>IF(F19=0,0,IF(D46="Yes",1,0))</f>
        <v>0</v>
      </c>
      <c r="N46" s="223"/>
      <c r="O46" s="226"/>
      <c r="P46" s="226"/>
    </row>
    <row r="47" spans="2:23" s="41" customFormat="1" ht="18" customHeight="1" x14ac:dyDescent="0.2">
      <c r="B47" s="78" t="s">
        <v>113</v>
      </c>
      <c r="C47" s="78"/>
      <c r="D47" s="239" t="str">
        <f>IF(OR(D18="Natural Ventilation",D18="Mixed"),"Yes","No")</f>
        <v>No</v>
      </c>
      <c r="E47" s="78"/>
      <c r="F47" s="41" t="s">
        <v>257</v>
      </c>
      <c r="G47" s="41" t="s">
        <v>117</v>
      </c>
      <c r="H47" s="41" t="s">
        <v>253</v>
      </c>
      <c r="N47" s="223" t="s">
        <v>372</v>
      </c>
      <c r="O47" s="226" t="s">
        <v>117</v>
      </c>
      <c r="P47" s="225" t="s">
        <v>253</v>
      </c>
    </row>
    <row r="48" spans="2:23" s="41" customFormat="1" ht="18" customHeight="1" x14ac:dyDescent="0.2">
      <c r="B48" s="42" t="s">
        <v>371</v>
      </c>
      <c r="C48" s="42"/>
      <c r="D48" s="56" t="s">
        <v>63</v>
      </c>
      <c r="F48" s="41">
        <f>IF($D$18="Mixed",$D$20*H48+(1-$D$20)*G48,IF($D$18="Natural Ventilation",H48,G48))</f>
        <v>0</v>
      </c>
      <c r="G48" s="41">
        <v>0</v>
      </c>
      <c r="H48" s="41">
        <f>IF(D48="Yes",1,)</f>
        <v>1</v>
      </c>
      <c r="N48" s="223"/>
      <c r="O48" s="63"/>
      <c r="P48" s="225"/>
    </row>
    <row r="49" spans="2:16" s="41" customFormat="1" ht="18" customHeight="1" x14ac:dyDescent="0.2">
      <c r="B49" s="42" t="s">
        <v>155</v>
      </c>
      <c r="C49" s="42"/>
      <c r="D49" s="56" t="s">
        <v>64</v>
      </c>
      <c r="F49" s="41">
        <f>IF($D$18="Mixed",$D$20*H49+(1-$D$20)*G49,IF($D$18="Natural Ventilation",H49,G49))</f>
        <v>0</v>
      </c>
      <c r="G49" s="41">
        <v>0</v>
      </c>
      <c r="H49" s="41">
        <f>IF(D49="Yes",1,)</f>
        <v>0</v>
      </c>
      <c r="N49" s="233">
        <f>(IF($D$18="Mixed",$D$20*P49,IF($D$18="Natural Ventilation",P49,O49)))</f>
        <v>0</v>
      </c>
      <c r="O49" s="228">
        <v>0</v>
      </c>
      <c r="P49" s="234">
        <f>IF(AND(D48="Yes",D49="Yes",D50="Yes"),2,0)</f>
        <v>0</v>
      </c>
    </row>
    <row r="50" spans="2:16" s="41" customFormat="1" ht="18" customHeight="1" x14ac:dyDescent="0.2">
      <c r="B50" s="42" t="s">
        <v>156</v>
      </c>
      <c r="C50" s="42"/>
      <c r="D50" s="56" t="s">
        <v>64</v>
      </c>
      <c r="F50" s="41">
        <f>IF($D$18="Mixed",$D$20*H50+(1-$D$20)*G50,IF($D$18="Natural Ventilation",H50,G50))</f>
        <v>0</v>
      </c>
      <c r="G50" s="41">
        <v>0</v>
      </c>
      <c r="H50" s="41">
        <f>IF(D50="Yes",1,0)</f>
        <v>0</v>
      </c>
      <c r="N50" s="229"/>
      <c r="O50" s="236"/>
      <c r="P50" s="230"/>
    </row>
    <row r="51" spans="2:16" s="41" customFormat="1" ht="18" customHeight="1" x14ac:dyDescent="0.2">
      <c r="B51" s="46" t="s">
        <v>12</v>
      </c>
      <c r="C51" s="46"/>
      <c r="D51" s="64"/>
      <c r="E51" s="46"/>
      <c r="K51" s="41">
        <v>5</v>
      </c>
      <c r="L51" s="79">
        <f>2/12</f>
        <v>0.16666666666666666</v>
      </c>
    </row>
    <row r="52" spans="2:16" s="41" customFormat="1" ht="18" customHeight="1" x14ac:dyDescent="0.2">
      <c r="B52" s="42" t="s">
        <v>226</v>
      </c>
      <c r="C52" s="42"/>
      <c r="D52" s="56"/>
      <c r="F52" s="41">
        <f>IF(ISBLANK(D52)=TRUE,0,IF(D52="Other",0,1))</f>
        <v>0</v>
      </c>
    </row>
    <row r="53" spans="2:16" s="41" customFormat="1" ht="18" customHeight="1" x14ac:dyDescent="0.2">
      <c r="B53" s="42" t="s">
        <v>133</v>
      </c>
      <c r="C53" s="42"/>
      <c r="D53" s="56"/>
      <c r="F53" s="41">
        <f>IFERROR(IF(D53/D21&gt;1.34,MIN((D53/D21-2.37)/(7.11-2.37)*4,4),0),0)</f>
        <v>0</v>
      </c>
      <c r="L53" s="79"/>
    </row>
    <row r="54" spans="2:16" s="41" customFormat="1" ht="18" customHeight="1" x14ac:dyDescent="0.2">
      <c r="B54" s="46" t="s">
        <v>152</v>
      </c>
      <c r="C54" s="46"/>
      <c r="D54" s="64"/>
      <c r="E54" s="46"/>
      <c r="K54" s="41">
        <v>1</v>
      </c>
      <c r="L54" s="79">
        <f>1/12</f>
        <v>8.3333333333333329E-2</v>
      </c>
    </row>
    <row r="55" spans="2:16" ht="36" customHeight="1" x14ac:dyDescent="0.2">
      <c r="B55" s="219" t="s">
        <v>387</v>
      </c>
      <c r="C55" s="42"/>
      <c r="D55" s="56"/>
      <c r="F55" s="35">
        <f>IF(D55="Yes",1,0)</f>
        <v>0</v>
      </c>
    </row>
    <row r="56" spans="2:16" s="41" customFormat="1" ht="18" customHeight="1" x14ac:dyDescent="0.2">
      <c r="B56" s="46" t="s">
        <v>13</v>
      </c>
      <c r="C56" s="46"/>
      <c r="D56" s="64"/>
      <c r="E56" s="46"/>
      <c r="K56" s="41">
        <v>4</v>
      </c>
      <c r="L56" s="79">
        <f>1/12</f>
        <v>8.3333333333333329E-2</v>
      </c>
    </row>
    <row r="57" spans="2:16" s="41" customFormat="1" ht="18" customHeight="1" x14ac:dyDescent="0.2">
      <c r="B57" s="80" t="s">
        <v>57</v>
      </c>
      <c r="C57" s="80"/>
      <c r="D57" s="56"/>
      <c r="F57" s="41">
        <f>IF(D57="Yes",1,0)</f>
        <v>0</v>
      </c>
    </row>
    <row r="58" spans="2:16" ht="30" customHeight="1" x14ac:dyDescent="0.2">
      <c r="B58" s="42" t="s">
        <v>58</v>
      </c>
      <c r="C58" s="42"/>
      <c r="D58" s="56"/>
      <c r="F58" s="35">
        <f t="shared" ref="F58:F60" si="1">IF(D58="Yes",1,0)</f>
        <v>0</v>
      </c>
    </row>
    <row r="59" spans="2:16" s="41" customFormat="1" ht="18" customHeight="1" x14ac:dyDescent="0.2">
      <c r="B59" s="42" t="s">
        <v>59</v>
      </c>
      <c r="C59" s="42"/>
      <c r="D59" s="56"/>
      <c r="F59" s="41">
        <f t="shared" si="1"/>
        <v>0</v>
      </c>
    </row>
    <row r="60" spans="2:16" s="41" customFormat="1" ht="18" customHeight="1" x14ac:dyDescent="0.2">
      <c r="B60" s="42" t="s">
        <v>60</v>
      </c>
      <c r="C60" s="42"/>
      <c r="D60" s="56"/>
      <c r="F60" s="41">
        <f t="shared" si="1"/>
        <v>0</v>
      </c>
    </row>
    <row r="61" spans="2:16" s="41" customFormat="1" ht="18" customHeight="1" x14ac:dyDescent="0.2">
      <c r="B61" s="46" t="s">
        <v>353</v>
      </c>
      <c r="C61" s="46"/>
      <c r="D61" s="64"/>
      <c r="E61" s="46"/>
      <c r="K61" s="41">
        <v>2</v>
      </c>
      <c r="L61" s="79">
        <f>2/12</f>
        <v>0.16666666666666666</v>
      </c>
    </row>
    <row r="62" spans="2:16" s="41" customFormat="1" ht="18" customHeight="1" x14ac:dyDescent="0.2">
      <c r="B62" s="42" t="s">
        <v>352</v>
      </c>
      <c r="C62" s="42"/>
      <c r="D62" s="206"/>
      <c r="F62" s="41">
        <f>D62*2</f>
        <v>0</v>
      </c>
    </row>
    <row r="63" spans="2:16" x14ac:dyDescent="0.2">
      <c r="D63" s="71"/>
    </row>
    <row r="64" spans="2:16" s="41" customFormat="1" ht="18" customHeight="1" x14ac:dyDescent="0.2">
      <c r="B64" s="46" t="s">
        <v>65</v>
      </c>
      <c r="C64" s="46"/>
      <c r="D64" s="64"/>
      <c r="E64" s="46"/>
      <c r="L64" s="79"/>
    </row>
    <row r="65" spans="2:15" s="41" customFormat="1" ht="18" customHeight="1" x14ac:dyDescent="0.2">
      <c r="B65" s="45" t="s">
        <v>351</v>
      </c>
      <c r="C65" s="45"/>
      <c r="D65" s="59">
        <f>L40*D73*D33</f>
        <v>0</v>
      </c>
      <c r="E65" s="45"/>
    </row>
    <row r="66" spans="2:15" s="41" customFormat="1" ht="18" customHeight="1" x14ac:dyDescent="0.2">
      <c r="B66" s="45" t="s">
        <v>9</v>
      </c>
      <c r="C66" s="45"/>
      <c r="D66" s="59">
        <f>IF(O40*D73*SUM(N41:N50)/N40&gt;=2,2,O40*D73*SUM(N41:N50)/N40)</f>
        <v>0</v>
      </c>
      <c r="E66" s="45"/>
      <c r="F66" s="41">
        <f>L40*D73*((4+D33*2)/7*D33+(3-D33*2)/7*SUM(F42:F50)/K40)-D66</f>
        <v>1.7142857142857142</v>
      </c>
    </row>
    <row r="67" spans="2:15" s="41" customFormat="1" ht="18" customHeight="1" x14ac:dyDescent="0.2">
      <c r="B67" s="45" t="s">
        <v>11</v>
      </c>
      <c r="C67" s="45"/>
      <c r="D67" s="59">
        <f>L36*D73*SUM(F37:F39)/K36</f>
        <v>0</v>
      </c>
      <c r="E67" s="45"/>
      <c r="O67" s="41">
        <f>D73*L40</f>
        <v>6</v>
      </c>
    </row>
    <row r="68" spans="2:15" s="41" customFormat="1" ht="18" customHeight="1" x14ac:dyDescent="0.2">
      <c r="B68" s="45" t="s">
        <v>12</v>
      </c>
      <c r="C68" s="45"/>
      <c r="D68" s="59">
        <f>L51*D73*SUM(F52:F53)/K51</f>
        <v>0</v>
      </c>
      <c r="E68" s="45"/>
    </row>
    <row r="69" spans="2:15" s="41" customFormat="1" ht="18" customHeight="1" x14ac:dyDescent="0.2">
      <c r="B69" s="45" t="s">
        <v>152</v>
      </c>
      <c r="C69" s="45"/>
      <c r="D69" s="59">
        <f>L54*D73*SUM(F55)/K54</f>
        <v>0</v>
      </c>
      <c r="E69" s="45"/>
    </row>
    <row r="70" spans="2:15" s="41" customFormat="1" ht="18" customHeight="1" x14ac:dyDescent="0.2">
      <c r="B70" s="45" t="s">
        <v>13</v>
      </c>
      <c r="C70" s="45"/>
      <c r="D70" s="59">
        <f>IF(COUNTIF(D57:D60,"&lt;&gt;NA")&lt;&gt;0,IF(COUNTIF(D57:D60,"Yes")=COUNTIF(D57:D60,"&lt;&gt;NA"),1,0),0)</f>
        <v>0</v>
      </c>
      <c r="E70" s="45"/>
    </row>
    <row r="71" spans="2:15" s="41" customFormat="1" ht="18" customHeight="1" x14ac:dyDescent="0.2">
      <c r="B71" s="45" t="s">
        <v>354</v>
      </c>
      <c r="C71" s="45"/>
      <c r="D71" s="59">
        <f>L61*D73*SUM(F62)/K61</f>
        <v>0</v>
      </c>
      <c r="E71" s="45"/>
    </row>
    <row r="72" spans="2:15" s="41" customFormat="1" ht="18" customHeight="1" x14ac:dyDescent="0.2">
      <c r="C72" s="81" t="s">
        <v>270</v>
      </c>
      <c r="D72" s="82">
        <f>IF(SUM(D65:D71)&gt;12,12,IF(OR(D30="FAIL",D31="FAIL"),0,SUM(D65:D71)))</f>
        <v>0</v>
      </c>
      <c r="E72" s="83"/>
    </row>
    <row r="73" spans="2:15" s="41" customFormat="1" ht="18" customHeight="1" x14ac:dyDescent="0.2">
      <c r="C73" s="81" t="s">
        <v>271</v>
      </c>
      <c r="D73" s="82">
        <v>12</v>
      </c>
      <c r="E73" s="83"/>
    </row>
    <row r="74" spans="2:15" x14ac:dyDescent="0.2">
      <c r="D74" s="71"/>
    </row>
    <row r="75" spans="2:15" x14ac:dyDescent="0.2">
      <c r="D75" s="71"/>
    </row>
    <row r="76" spans="2:15" ht="26.25" x14ac:dyDescent="0.4">
      <c r="B76" s="53" t="s">
        <v>370</v>
      </c>
      <c r="C76" s="53"/>
      <c r="D76" s="54"/>
    </row>
    <row r="77" spans="2:15" ht="16.5" customHeight="1" x14ac:dyDescent="0.25">
      <c r="B77" s="52"/>
      <c r="C77" s="52"/>
      <c r="D77" s="36"/>
      <c r="E77" s="36"/>
      <c r="F77" s="38"/>
    </row>
    <row r="78" spans="2:15" s="41" customFormat="1" ht="18" customHeight="1" x14ac:dyDescent="0.2">
      <c r="B78" s="43" t="s">
        <v>220</v>
      </c>
      <c r="C78" s="43"/>
      <c r="D78" s="56"/>
      <c r="E78" s="41" t="s">
        <v>217</v>
      </c>
    </row>
    <row r="79" spans="2:15" s="41" customFormat="1" ht="18" customHeight="1" x14ac:dyDescent="0.2">
      <c r="B79" s="84" t="s">
        <v>218</v>
      </c>
      <c r="C79" s="84"/>
      <c r="D79" s="56"/>
      <c r="E79" s="41" t="s">
        <v>217</v>
      </c>
    </row>
    <row r="80" spans="2:15" s="41" customFormat="1" ht="18" customHeight="1" x14ac:dyDescent="0.2">
      <c r="D80" s="61"/>
    </row>
    <row r="81" spans="2:19" s="41" customFormat="1" ht="18" customHeight="1" thickBot="1" x14ac:dyDescent="0.25">
      <c r="B81" s="85" t="s">
        <v>219</v>
      </c>
      <c r="C81" s="85"/>
      <c r="D81" s="70">
        <f>IFERROR(D79/D78,0)</f>
        <v>0</v>
      </c>
      <c r="E81" s="85"/>
    </row>
    <row r="82" spans="2:19" ht="13.5" thickTop="1" x14ac:dyDescent="0.2">
      <c r="D82" s="71"/>
    </row>
    <row r="83" spans="2:19" s="41" customFormat="1" ht="18" customHeight="1" x14ac:dyDescent="0.2">
      <c r="B83" s="51" t="s">
        <v>65</v>
      </c>
      <c r="C83" s="46"/>
      <c r="D83" s="46"/>
      <c r="E83" s="46"/>
    </row>
    <row r="84" spans="2:19" s="41" customFormat="1" ht="18" customHeight="1" x14ac:dyDescent="0.2">
      <c r="B84" s="83"/>
      <c r="C84" s="81" t="s">
        <v>270</v>
      </c>
      <c r="D84" s="86">
        <f>IF(D81&gt;F84,D85,0)</f>
        <v>0</v>
      </c>
      <c r="E84" s="83"/>
      <c r="F84" s="87">
        <v>0.15</v>
      </c>
      <c r="G84" s="88"/>
      <c r="H84" s="88"/>
      <c r="I84" s="88"/>
      <c r="J84" s="88"/>
      <c r="K84" s="88"/>
      <c r="L84" s="88"/>
      <c r="M84" s="88"/>
      <c r="N84" s="88"/>
      <c r="O84" s="88"/>
      <c r="P84" s="88"/>
      <c r="Q84" s="88"/>
      <c r="R84" s="88"/>
      <c r="S84" s="88"/>
    </row>
    <row r="85" spans="2:19" s="41" customFormat="1" ht="18" customHeight="1" x14ac:dyDescent="0.2">
      <c r="B85" s="83"/>
      <c r="C85" s="81" t="s">
        <v>271</v>
      </c>
      <c r="D85" s="86">
        <v>1</v>
      </c>
      <c r="E85" s="83"/>
      <c r="F85" s="88"/>
      <c r="G85" s="88"/>
      <c r="H85" s="88"/>
      <c r="I85" s="88"/>
      <c r="J85" s="88"/>
      <c r="K85" s="88"/>
      <c r="L85" s="88"/>
      <c r="M85" s="88"/>
      <c r="N85" s="88"/>
      <c r="O85" s="88"/>
      <c r="P85" s="88"/>
      <c r="Q85" s="88"/>
      <c r="R85" s="88"/>
      <c r="S85" s="88"/>
    </row>
  </sheetData>
  <sheetProtection password="E6B1" sheet="1" objects="1" scenarios="1"/>
  <conditionalFormatting sqref="D30">
    <cfRule type="cellIs" dxfId="4" priority="4" operator="equal">
      <formula>"FAIL"</formula>
    </cfRule>
  </conditionalFormatting>
  <conditionalFormatting sqref="D31">
    <cfRule type="cellIs" dxfId="3" priority="3" operator="equal">
      <formula>"FAIL"</formula>
    </cfRule>
  </conditionalFormatting>
  <conditionalFormatting sqref="D33">
    <cfRule type="cellIs" dxfId="2" priority="2" operator="equal">
      <formula>"FAIL"</formula>
    </cfRule>
  </conditionalFormatting>
  <conditionalFormatting sqref="D19">
    <cfRule type="expression" dxfId="1" priority="1">
      <formula>$D$18="Natural Ventilation"</formula>
    </cfRule>
  </conditionalFormatting>
  <dataValidations count="13">
    <dataValidation type="list" allowBlank="1" showInputMessage="1" showErrorMessage="1" sqref="D37:D39 D55 D43 D48:D50 D46">
      <formula1>Option</formula1>
    </dataValidation>
    <dataValidation type="list" allowBlank="1" showInputMessage="1" showErrorMessage="1" sqref="D45 D42">
      <formula1>ACStarRating</formula1>
    </dataValidation>
    <dataValidation type="decimal" allowBlank="1" showInputMessage="1" showErrorMessage="1" sqref="D53">
      <formula1>0</formula1>
      <formula2>1000000</formula2>
    </dataValidation>
    <dataValidation type="list" allowBlank="1" showInputMessage="1" showErrorMessage="1" sqref="D17">
      <formula1>NatHERSZone</formula1>
    </dataValidation>
    <dataValidation type="list" allowBlank="1" showInputMessage="1" showErrorMessage="1" sqref="D11:D12">
      <formula1>NatHERSStar</formula1>
    </dataValidation>
    <dataValidation type="list" allowBlank="1" showInputMessage="1" showErrorMessage="1" promptTitle="Ventilation and Comfort Strategy" prompt="Mechanical heating/cooling: all apartments are mechanically heated or cooled._x000a_Natural ventilation: all apartments are naturally ventilated._x000a_Mixed: some apartments are provided with mechanical cooling and some are not._x000a_" sqref="D18">
      <formula1>ComfortControl</formula1>
    </dataValidation>
    <dataValidation type="decimal" allowBlank="1" showInputMessage="1" showErrorMessage="1" promptTitle="Proportion nat vent" prompt="Enter the proportion of the total apartments which are NOT provided with mechanical cooling (i.e. air conditioning)." sqref="D20">
      <formula1>0</formula1>
      <formula2>1</formula2>
    </dataValidation>
    <dataValidation allowBlank="1" showInputMessage="1" showErrorMessage="1" promptTitle="Average Energy Intensity" prompt="Enter the area-weighted average energy intensity for all apartments in the development, based on the NatHERS assessment results for all apartment types." sqref="D14"/>
    <dataValidation allowBlank="1" showInputMessage="1" showErrorMessage="1" promptTitle="Worst-Case Energy Intensity" prompt="Enter the worst-case apartment energy intensity for the development, based on the NatHERS assessment results for all apartment types." sqref="D15"/>
    <dataValidation type="whole" allowBlank="1" showInputMessage="1" showErrorMessage="1" promptTitle="Building Occupancy" prompt="Enter the total number of building occupants, based on 2 people for the first bed and 1 person for each additional bed in each apartment." sqref="D21">
      <formula1>0</formula1>
      <formula2>1000000</formula2>
    </dataValidation>
    <dataValidation type="list" allowBlank="1" showInputMessage="1" showErrorMessage="1" sqref="D52">
      <formula1>DHWFuel</formula1>
    </dataValidation>
    <dataValidation type="list" allowBlank="1" showInputMessage="1" showErrorMessage="1" sqref="D54 D57:D60">
      <formula1>OptionNA</formula1>
    </dataValidation>
    <dataValidation type="list" allowBlank="1" showInputMessage="1" showErrorMessage="1" sqref="D19">
      <formula1>HeatingCooling</formula1>
    </dataValidation>
  </dataValidations>
  <pageMargins left="0.7" right="0.7" top="0.75" bottom="0.75" header="0.3" footer="0.3"/>
  <pageSetup paperSize="25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39"/>
  <sheetViews>
    <sheetView showGridLines="0" zoomScaleNormal="100" workbookViewId="0"/>
  </sheetViews>
  <sheetFormatPr defaultRowHeight="12.75" x14ac:dyDescent="0.2"/>
  <cols>
    <col min="1" max="1" width="1.42578125" style="35" customWidth="1"/>
    <col min="2" max="2" width="81.85546875" style="35" customWidth="1"/>
    <col min="3" max="4" width="13.85546875" style="35" customWidth="1"/>
    <col min="5" max="5" width="14.85546875" style="35" bestFit="1" customWidth="1"/>
    <col min="6" max="8" width="9.140625" style="35" hidden="1" customWidth="1"/>
    <col min="9" max="10" width="14.7109375" style="35" hidden="1" customWidth="1"/>
    <col min="11" max="11" width="14.5703125" style="35" hidden="1" customWidth="1"/>
    <col min="12" max="12" width="17.42578125" style="35" hidden="1" customWidth="1"/>
    <col min="13" max="13" width="9.140625" style="35" hidden="1" customWidth="1"/>
    <col min="14" max="16" width="13.42578125" style="35" hidden="1" customWidth="1"/>
    <col min="17" max="18" width="9.140625" style="35" hidden="1" customWidth="1"/>
    <col min="19" max="20" width="9.140625" style="35" customWidth="1"/>
    <col min="21" max="21" width="13.42578125" style="35" customWidth="1"/>
    <col min="22" max="23" width="9.140625" style="35" hidden="1" customWidth="1"/>
    <col min="24" max="35" width="9.140625" style="35" customWidth="1"/>
    <col min="36" max="16384" width="9.140625" style="35"/>
  </cols>
  <sheetData>
    <row r="1" spans="2:23" s="30" customFormat="1" ht="14.25" x14ac:dyDescent="0.2">
      <c r="E1" s="31"/>
      <c r="V1" s="30" t="s">
        <v>258</v>
      </c>
      <c r="W1" s="30" t="s">
        <v>258</v>
      </c>
    </row>
    <row r="2" spans="2:23" s="30" customFormat="1" ht="103.5" customHeight="1" x14ac:dyDescent="0.35">
      <c r="B2" s="32"/>
      <c r="C2" s="32"/>
      <c r="E2" s="31"/>
    </row>
    <row r="3" spans="2:23" s="30" customFormat="1" ht="72.75" customHeight="1" x14ac:dyDescent="0.35">
      <c r="B3" s="32"/>
      <c r="C3" s="32"/>
      <c r="E3" s="31"/>
    </row>
    <row r="4" spans="2:23" s="30" customFormat="1" ht="9.75" customHeight="1" x14ac:dyDescent="0.35">
      <c r="B4" s="32"/>
      <c r="C4" s="32"/>
      <c r="E4" s="31"/>
    </row>
    <row r="5" spans="2:23" s="30" customFormat="1" ht="14.25" x14ac:dyDescent="0.2">
      <c r="B5" s="191" t="s">
        <v>260</v>
      </c>
      <c r="C5" s="35"/>
      <c r="D5" s="34" t="s">
        <v>261</v>
      </c>
      <c r="E5" s="31"/>
    </row>
    <row r="6" spans="2:23" x14ac:dyDescent="0.2">
      <c r="F6" s="35" t="s">
        <v>258</v>
      </c>
      <c r="G6" s="35" t="s">
        <v>258</v>
      </c>
      <c r="H6" s="35" t="s">
        <v>258</v>
      </c>
      <c r="I6" s="35" t="s">
        <v>258</v>
      </c>
      <c r="J6" s="35" t="s">
        <v>258</v>
      </c>
      <c r="K6" s="35" t="s">
        <v>258</v>
      </c>
      <c r="L6" s="35" t="s">
        <v>258</v>
      </c>
      <c r="M6" s="35" t="s">
        <v>258</v>
      </c>
      <c r="N6" s="35" t="s">
        <v>258</v>
      </c>
      <c r="O6" s="35" t="s">
        <v>258</v>
      </c>
      <c r="P6" s="35" t="s">
        <v>258</v>
      </c>
      <c r="Q6" s="35" t="s">
        <v>258</v>
      </c>
      <c r="R6" s="35" t="s">
        <v>258</v>
      </c>
    </row>
    <row r="7" spans="2:23" x14ac:dyDescent="0.2">
      <c r="B7" s="55" t="s">
        <v>384</v>
      </c>
    </row>
    <row r="9" spans="2:23" ht="26.25" x14ac:dyDescent="0.4">
      <c r="B9" s="53" t="s">
        <v>357</v>
      </c>
      <c r="C9" s="53"/>
      <c r="D9" s="54"/>
    </row>
    <row r="10" spans="2:23" ht="16.5" customHeight="1" x14ac:dyDescent="0.25">
      <c r="B10" s="52" t="s">
        <v>363</v>
      </c>
      <c r="C10" s="52"/>
      <c r="D10" s="36"/>
      <c r="E10" s="36"/>
      <c r="F10" s="192"/>
    </row>
    <row r="11" spans="2:23" ht="16.5" customHeight="1" x14ac:dyDescent="0.25">
      <c r="B11" s="60" t="s">
        <v>324</v>
      </c>
      <c r="C11" s="193"/>
      <c r="D11" s="194"/>
      <c r="E11" s="195"/>
      <c r="F11" s="192"/>
    </row>
    <row r="12" spans="2:23" ht="18" customHeight="1" x14ac:dyDescent="0.2">
      <c r="B12" s="60" t="s">
        <v>325</v>
      </c>
      <c r="C12" s="41"/>
      <c r="D12" s="196"/>
      <c r="E12" s="197" t="s">
        <v>381</v>
      </c>
    </row>
    <row r="13" spans="2:23" x14ac:dyDescent="0.2">
      <c r="B13" s="60"/>
      <c r="C13" s="41"/>
      <c r="D13" s="198"/>
      <c r="E13" s="197"/>
    </row>
    <row r="14" spans="2:23" ht="18" customHeight="1" x14ac:dyDescent="0.2">
      <c r="B14" s="60" t="s">
        <v>326</v>
      </c>
      <c r="C14" s="41"/>
      <c r="D14" s="205"/>
      <c r="E14" s="63"/>
    </row>
    <row r="15" spans="2:23" x14ac:dyDescent="0.2">
      <c r="B15" s="41"/>
      <c r="C15" s="41"/>
      <c r="D15" s="61"/>
      <c r="E15" s="41"/>
    </row>
    <row r="16" spans="2:23" ht="18" customHeight="1" x14ac:dyDescent="0.2">
      <c r="B16" s="199" t="s">
        <v>269</v>
      </c>
      <c r="C16" s="199"/>
      <c r="D16" s="200"/>
      <c r="E16" s="199"/>
    </row>
    <row r="17" spans="2:23" ht="18" customHeight="1" x14ac:dyDescent="0.2">
      <c r="B17" s="65" t="s">
        <v>345</v>
      </c>
      <c r="C17" s="66"/>
      <c r="D17" s="201" t="str">
        <f>IFERROR(INDEX(Reference!$D$100:$G$102,'15C BASIX Path'!$D$12,MATCH('15C BASIX Path'!$D$11,BASIXDwellingType,0)),"")</f>
        <v/>
      </c>
    </row>
    <row r="18" spans="2:23" ht="18" customHeight="1" x14ac:dyDescent="0.2">
      <c r="B18" s="65" t="s">
        <v>344</v>
      </c>
      <c r="C18" s="65"/>
      <c r="D18" s="204" t="e">
        <f>1-(1-D17)*0.9</f>
        <v>#VALUE!</v>
      </c>
      <c r="E18" s="65"/>
      <c r="V18" s="35" t="s">
        <v>366</v>
      </c>
      <c r="W18" s="211">
        <f>IFERROR(IF(D14-D18&gt;0,MIN((D14-D18)/(1-D18),1)*D27,0),0)</f>
        <v>0</v>
      </c>
    </row>
    <row r="19" spans="2:23" ht="18" customHeight="1" thickBot="1" x14ac:dyDescent="0.25">
      <c r="B19" s="67" t="s">
        <v>327</v>
      </c>
      <c r="C19" s="68"/>
      <c r="D19" s="69" t="str">
        <f>IF(OR(ISBLANK(D14)=TRUE,D17=""),"",IF(D14&gt;=D18,"PASS","FAIL"))</f>
        <v/>
      </c>
      <c r="W19" s="211"/>
    </row>
    <row r="20" spans="2:23" ht="18" customHeight="1" thickTop="1" x14ac:dyDescent="0.2">
      <c r="B20" s="212"/>
      <c r="C20" s="212"/>
      <c r="D20" s="213"/>
      <c r="E20" s="212"/>
      <c r="W20" s="211"/>
    </row>
    <row r="21" spans="2:23" ht="16.5" customHeight="1" x14ac:dyDescent="0.25">
      <c r="B21" s="214" t="s">
        <v>364</v>
      </c>
      <c r="C21" s="214"/>
      <c r="D21" s="215"/>
      <c r="E21" s="215"/>
      <c r="F21" s="192"/>
      <c r="W21" s="211"/>
    </row>
    <row r="22" spans="2:23" ht="18" customHeight="1" x14ac:dyDescent="0.2">
      <c r="B22" s="216" t="s">
        <v>365</v>
      </c>
      <c r="C22" s="212"/>
      <c r="D22" s="205"/>
      <c r="E22" s="212"/>
      <c r="V22" s="35" t="s">
        <v>367</v>
      </c>
      <c r="W22" s="211">
        <f>D22*2</f>
        <v>0</v>
      </c>
    </row>
    <row r="23" spans="2:23" ht="18" customHeight="1" x14ac:dyDescent="0.2">
      <c r="B23" s="212"/>
      <c r="C23" s="212"/>
      <c r="D23" s="213"/>
      <c r="E23" s="212"/>
      <c r="W23" s="211"/>
    </row>
    <row r="24" spans="2:23" x14ac:dyDescent="0.2">
      <c r="B24" s="212"/>
      <c r="C24" s="212"/>
      <c r="D24" s="213"/>
      <c r="E24" s="212"/>
      <c r="W24" s="211"/>
    </row>
    <row r="25" spans="2:23" s="41" customFormat="1" ht="18" customHeight="1" x14ac:dyDescent="0.2">
      <c r="B25" s="217" t="s">
        <v>65</v>
      </c>
      <c r="C25" s="217"/>
      <c r="D25" s="218"/>
      <c r="E25" s="217"/>
      <c r="L25" s="79"/>
      <c r="W25" s="95"/>
    </row>
    <row r="26" spans="2:23" s="41" customFormat="1" ht="18" customHeight="1" x14ac:dyDescent="0.2">
      <c r="C26" s="81" t="s">
        <v>270</v>
      </c>
      <c r="D26" s="82">
        <f>IF(D19="PASS",W26,0)</f>
        <v>0</v>
      </c>
      <c r="E26" s="83"/>
      <c r="V26" s="41" t="s">
        <v>368</v>
      </c>
      <c r="W26" s="95">
        <f>IF(W22+W18&gt;16,16,W18+W22)</f>
        <v>0</v>
      </c>
    </row>
    <row r="27" spans="2:23" s="41" customFormat="1" ht="18" customHeight="1" x14ac:dyDescent="0.2">
      <c r="C27" s="81" t="s">
        <v>271</v>
      </c>
      <c r="D27" s="82">
        <v>16</v>
      </c>
      <c r="E27" s="83"/>
    </row>
    <row r="28" spans="2:23" x14ac:dyDescent="0.2">
      <c r="D28" s="71"/>
    </row>
    <row r="29" spans="2:23" x14ac:dyDescent="0.2">
      <c r="D29" s="71"/>
    </row>
    <row r="30" spans="2:23" ht="26.25" x14ac:dyDescent="0.4">
      <c r="B30" s="53" t="s">
        <v>370</v>
      </c>
      <c r="C30" s="53"/>
      <c r="D30" s="54"/>
    </row>
    <row r="31" spans="2:23" ht="16.5" customHeight="1" x14ac:dyDescent="0.25">
      <c r="B31" s="52"/>
      <c r="C31" s="52"/>
      <c r="D31" s="36"/>
      <c r="E31" s="36"/>
      <c r="F31" s="192"/>
    </row>
    <row r="32" spans="2:23" s="41" customFormat="1" ht="18" customHeight="1" x14ac:dyDescent="0.2">
      <c r="B32" s="43" t="s">
        <v>220</v>
      </c>
      <c r="C32" s="43"/>
      <c r="D32" s="194"/>
      <c r="E32" s="41" t="s">
        <v>217</v>
      </c>
    </row>
    <row r="33" spans="2:19" s="41" customFormat="1" ht="18" customHeight="1" x14ac:dyDescent="0.2">
      <c r="B33" s="84" t="s">
        <v>218</v>
      </c>
      <c r="C33" s="84"/>
      <c r="D33" s="194"/>
      <c r="E33" s="41" t="s">
        <v>217</v>
      </c>
    </row>
    <row r="34" spans="2:19" s="41" customFormat="1" ht="18" customHeight="1" x14ac:dyDescent="0.2">
      <c r="D34" s="61"/>
    </row>
    <row r="35" spans="2:19" s="41" customFormat="1" ht="18" customHeight="1" thickBot="1" x14ac:dyDescent="0.25">
      <c r="B35" s="85" t="s">
        <v>219</v>
      </c>
      <c r="C35" s="85"/>
      <c r="D35" s="70">
        <f>IFERROR(D33/D32,0)</f>
        <v>0</v>
      </c>
      <c r="E35" s="85"/>
    </row>
    <row r="36" spans="2:19" ht="13.5" thickTop="1" x14ac:dyDescent="0.2">
      <c r="D36" s="71"/>
    </row>
    <row r="37" spans="2:19" s="41" customFormat="1" ht="18" customHeight="1" x14ac:dyDescent="0.2">
      <c r="B37" s="202" t="s">
        <v>65</v>
      </c>
      <c r="C37" s="199"/>
      <c r="D37" s="199"/>
      <c r="E37" s="199"/>
    </row>
    <row r="38" spans="2:19" s="41" customFormat="1" ht="18" customHeight="1" x14ac:dyDescent="0.2">
      <c r="B38" s="83"/>
      <c r="C38" s="81" t="s">
        <v>270</v>
      </c>
      <c r="D38" s="86">
        <f>IF(D35&gt;F38,D39,0)</f>
        <v>0</v>
      </c>
      <c r="E38" s="83"/>
      <c r="F38" s="87">
        <v>0.15</v>
      </c>
      <c r="G38" s="88"/>
      <c r="H38" s="88"/>
      <c r="I38" s="88"/>
      <c r="J38" s="88"/>
      <c r="K38" s="88"/>
      <c r="L38" s="88"/>
      <c r="M38" s="88"/>
      <c r="N38" s="88"/>
      <c r="O38" s="88"/>
      <c r="P38" s="88"/>
      <c r="Q38" s="88"/>
      <c r="R38" s="88"/>
      <c r="S38" s="88"/>
    </row>
    <row r="39" spans="2:19" s="41" customFormat="1" ht="18" customHeight="1" x14ac:dyDescent="0.2">
      <c r="B39" s="83"/>
      <c r="C39" s="81" t="s">
        <v>271</v>
      </c>
      <c r="D39" s="86">
        <v>1</v>
      </c>
      <c r="E39" s="83"/>
      <c r="F39" s="88"/>
      <c r="G39" s="88"/>
      <c r="H39" s="88"/>
      <c r="I39" s="88"/>
      <c r="J39" s="88"/>
      <c r="K39" s="88"/>
      <c r="L39" s="88"/>
      <c r="M39" s="88"/>
      <c r="N39" s="88"/>
      <c r="O39" s="88"/>
      <c r="P39" s="88"/>
      <c r="Q39" s="88"/>
      <c r="R39" s="88"/>
      <c r="S39" s="88"/>
    </row>
  </sheetData>
  <sheetProtection password="E6B1" sheet="1" objects="1" scenarios="1"/>
  <conditionalFormatting sqref="D19">
    <cfRule type="cellIs" dxfId="0" priority="1" operator="equal">
      <formula>"FAIL"</formula>
    </cfRule>
  </conditionalFormatting>
  <dataValidations count="2">
    <dataValidation type="decimal" allowBlank="1" showInputMessage="1" showErrorMessage="1" sqref="D14 D22">
      <formula1>0</formula1>
      <formula2>100</formula2>
    </dataValidation>
    <dataValidation type="list" allowBlank="1" showInputMessage="1" showErrorMessage="1" promptTitle="Building type" prompt="Detached: single dwelling, townhouse, villa.  Low Rise: 3-storey buildings.  Mid Rise: 4-5-storey buildings.  High Rise: 6 and more storey buildings." sqref="D11">
      <formula1>BASIXDwellingType</formula1>
    </dataValidation>
  </dataValidations>
  <hyperlinks>
    <hyperlink ref="E12" r:id="rId1" display="refer here"/>
  </hyperlinks>
  <pageMargins left="0.7" right="0.7" top="0.75" bottom="0.75" header="0.3" footer="0.3"/>
  <pageSetup paperSize="254"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Reference!$B$100:$B$102</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46"/>
  <sheetViews>
    <sheetView showGridLines="0" zoomScaleNormal="100" workbookViewId="0"/>
  </sheetViews>
  <sheetFormatPr defaultRowHeight="12.75" x14ac:dyDescent="0.2"/>
  <cols>
    <col min="1" max="1" width="1.42578125" style="41" customWidth="1"/>
    <col min="2" max="2" width="83.28515625" style="41" customWidth="1"/>
    <col min="3" max="3" width="18.85546875" style="41" customWidth="1"/>
    <col min="4" max="4" width="12" style="41" customWidth="1"/>
    <col min="5" max="5" width="12.140625" style="41" bestFit="1" customWidth="1"/>
    <col min="6" max="7" width="9.140625" style="41" hidden="1" customWidth="1"/>
    <col min="8" max="16384" width="9.140625" style="41"/>
  </cols>
  <sheetData>
    <row r="1" spans="2:18" s="30" customFormat="1" ht="14.25" x14ac:dyDescent="0.2">
      <c r="E1" s="31"/>
    </row>
    <row r="2" spans="2:18" s="30" customFormat="1" ht="103.5" customHeight="1" x14ac:dyDescent="0.35">
      <c r="B2" s="32"/>
      <c r="C2" s="32"/>
      <c r="E2" s="31"/>
    </row>
    <row r="3" spans="2:18" s="30" customFormat="1" ht="72.75" customHeight="1" x14ac:dyDescent="0.35">
      <c r="B3" s="32"/>
      <c r="C3" s="32"/>
      <c r="E3" s="31"/>
    </row>
    <row r="4" spans="2:18" s="30" customFormat="1" ht="9.75" customHeight="1" x14ac:dyDescent="0.35">
      <c r="B4" s="32"/>
      <c r="C4" s="32"/>
      <c r="E4" s="31"/>
    </row>
    <row r="5" spans="2:18" s="30" customFormat="1" ht="14.25" customHeight="1" x14ac:dyDescent="0.2">
      <c r="B5" s="33" t="s">
        <v>260</v>
      </c>
      <c r="C5" s="89"/>
      <c r="D5" s="47" t="s">
        <v>262</v>
      </c>
      <c r="E5" s="31"/>
    </row>
    <row r="6" spans="2:18" s="35" customFormat="1" ht="14.25" x14ac:dyDescent="0.2">
      <c r="F6" s="35" t="s">
        <v>258</v>
      </c>
      <c r="G6" s="35" t="s">
        <v>258</v>
      </c>
      <c r="H6" s="30"/>
      <c r="I6" s="30"/>
      <c r="J6" s="30"/>
      <c r="K6" s="30"/>
      <c r="L6" s="30"/>
      <c r="M6" s="30"/>
      <c r="N6" s="30"/>
      <c r="O6" s="30"/>
      <c r="P6" s="30"/>
      <c r="Q6" s="30"/>
      <c r="R6" s="30"/>
    </row>
    <row r="7" spans="2:18" s="35" customFormat="1" x14ac:dyDescent="0.2">
      <c r="B7" s="55" t="s">
        <v>385</v>
      </c>
    </row>
    <row r="8" spans="2:18" s="35" customFormat="1" x14ac:dyDescent="0.2"/>
    <row r="9" spans="2:18" s="35" customFormat="1" ht="26.25" x14ac:dyDescent="0.4">
      <c r="B9" s="53" t="s">
        <v>358</v>
      </c>
      <c r="C9" s="53"/>
      <c r="D9" s="54"/>
    </row>
    <row r="10" spans="2:18" s="35" customFormat="1" ht="22.5" customHeight="1" x14ac:dyDescent="0.25">
      <c r="B10" s="52" t="s">
        <v>264</v>
      </c>
      <c r="C10" s="52"/>
      <c r="D10" s="36"/>
      <c r="E10" s="36"/>
      <c r="F10" s="38"/>
    </row>
    <row r="12" spans="2:18" ht="25.5" customHeight="1" x14ac:dyDescent="0.2">
      <c r="B12" s="90" t="s">
        <v>244</v>
      </c>
      <c r="C12" s="90"/>
      <c r="D12" s="60">
        <v>4.5</v>
      </c>
      <c r="E12" s="60" t="s">
        <v>248</v>
      </c>
    </row>
    <row r="13" spans="2:18" ht="25.5" customHeight="1" x14ac:dyDescent="0.2">
      <c r="B13" s="91" t="s">
        <v>249</v>
      </c>
      <c r="C13" s="91"/>
      <c r="D13" s="56"/>
      <c r="E13" s="41" t="s">
        <v>248</v>
      </c>
    </row>
    <row r="15" spans="2:18" ht="18" customHeight="1" x14ac:dyDescent="0.2">
      <c r="B15" s="41" t="s">
        <v>288</v>
      </c>
      <c r="D15" s="56"/>
      <c r="E15" s="41" t="s">
        <v>45</v>
      </c>
    </row>
    <row r="16" spans="2:18" ht="18" customHeight="1" x14ac:dyDescent="0.2">
      <c r="B16" s="41" t="s">
        <v>289</v>
      </c>
      <c r="D16" s="56"/>
      <c r="E16" s="41" t="s">
        <v>45</v>
      </c>
    </row>
    <row r="17" spans="2:21" ht="18" customHeight="1" x14ac:dyDescent="0.2">
      <c r="B17" s="41" t="s">
        <v>111</v>
      </c>
      <c r="D17" s="127" t="str">
        <f>IFERROR(D16/D15," ")</f>
        <v xml:space="preserve"> </v>
      </c>
    </row>
    <row r="18" spans="2:21" ht="18" customHeight="1" x14ac:dyDescent="0.2">
      <c r="D18" s="41" t="str">
        <f>IF(D17&lt;0.8,"Assessed area is less than 80% of total; non-NABERS area must be assessed using one of the other assessment pathways","")</f>
        <v/>
      </c>
    </row>
    <row r="19" spans="2:21" ht="18" customHeight="1" x14ac:dyDescent="0.2">
      <c r="B19" s="41" t="s">
        <v>246</v>
      </c>
    </row>
    <row r="20" spans="2:21" ht="18" customHeight="1" x14ac:dyDescent="0.2">
      <c r="B20" s="92" t="s">
        <v>43</v>
      </c>
      <c r="C20" s="92"/>
      <c r="D20" s="56"/>
    </row>
    <row r="21" spans="2:21" ht="18" customHeight="1" x14ac:dyDescent="0.2">
      <c r="B21" s="92" t="s">
        <v>46</v>
      </c>
      <c r="C21" s="92"/>
      <c r="D21" s="56"/>
      <c r="E21" s="41" t="s">
        <v>47</v>
      </c>
    </row>
    <row r="22" spans="2:21" ht="18" customHeight="1" x14ac:dyDescent="0.2">
      <c r="B22" s="92" t="s">
        <v>44</v>
      </c>
      <c r="C22" s="92"/>
      <c r="D22" s="56"/>
      <c r="E22" s="41" t="s">
        <v>45</v>
      </c>
    </row>
    <row r="23" spans="2:21" ht="18" customHeight="1" x14ac:dyDescent="0.2">
      <c r="B23" s="93" t="s">
        <v>56</v>
      </c>
      <c r="C23" s="93"/>
      <c r="D23" s="56"/>
      <c r="E23" s="41" t="s">
        <v>48</v>
      </c>
      <c r="F23" s="94"/>
    </row>
    <row r="24" spans="2:21" ht="18" customHeight="1" x14ac:dyDescent="0.2"/>
    <row r="25" spans="2:21" ht="18" customHeight="1" x14ac:dyDescent="0.2">
      <c r="B25" s="68" t="s">
        <v>247</v>
      </c>
      <c r="C25" s="68"/>
      <c r="H25" s="128"/>
      <c r="I25" s="128"/>
      <c r="J25" s="128"/>
      <c r="K25" s="128"/>
      <c r="L25" s="128"/>
      <c r="M25" s="128"/>
      <c r="N25" s="128"/>
      <c r="O25" s="128"/>
      <c r="P25" s="128"/>
      <c r="Q25" s="128"/>
      <c r="R25" s="128"/>
      <c r="S25" s="128"/>
      <c r="T25" s="128"/>
      <c r="U25" s="128"/>
    </row>
    <row r="26" spans="2:21" ht="18" customHeight="1" x14ac:dyDescent="0.2">
      <c r="B26" s="92" t="s">
        <v>55</v>
      </c>
      <c r="C26" s="92"/>
      <c r="D26" s="56"/>
      <c r="E26" s="41" t="s">
        <v>48</v>
      </c>
      <c r="H26" s="128"/>
      <c r="I26" s="128"/>
      <c r="J26" s="128"/>
      <c r="K26" s="128"/>
      <c r="L26" s="128"/>
      <c r="M26" s="128"/>
      <c r="N26" s="128"/>
      <c r="O26" s="128"/>
      <c r="P26" s="128"/>
      <c r="Q26" s="128"/>
      <c r="R26" s="128"/>
      <c r="S26" s="128"/>
      <c r="T26" s="128"/>
      <c r="U26" s="128"/>
    </row>
    <row r="27" spans="2:21" x14ac:dyDescent="0.2">
      <c r="H27" s="128"/>
      <c r="I27" s="128"/>
      <c r="J27" s="128"/>
      <c r="K27" s="128"/>
      <c r="L27" s="128"/>
      <c r="M27" s="128"/>
      <c r="N27" s="128"/>
      <c r="O27" s="128"/>
      <c r="P27" s="128"/>
      <c r="Q27" s="128"/>
      <c r="R27" s="128"/>
      <c r="S27" s="128"/>
      <c r="T27" s="128"/>
      <c r="U27" s="128"/>
    </row>
    <row r="28" spans="2:21" ht="18" customHeight="1" thickBot="1" x14ac:dyDescent="0.25">
      <c r="B28" s="85" t="s">
        <v>54</v>
      </c>
      <c r="C28" s="85"/>
      <c r="D28" s="70">
        <f>IFERROR(IF(ISBLANK(D26)=TRUE,0,MIN(MAX((D23-D26)/D23,0),1)),"")</f>
        <v>0</v>
      </c>
      <c r="E28" s="70"/>
      <c r="G28" s="126" t="s">
        <v>278</v>
      </c>
      <c r="H28" s="128"/>
      <c r="I28" s="128"/>
      <c r="J28" s="128"/>
      <c r="K28" s="128"/>
      <c r="L28" s="128"/>
      <c r="M28" s="128"/>
      <c r="N28" s="128"/>
      <c r="O28" s="128"/>
      <c r="P28" s="128"/>
      <c r="Q28" s="128"/>
      <c r="R28" s="128"/>
      <c r="S28" s="128"/>
      <c r="T28" s="128"/>
      <c r="U28" s="128"/>
    </row>
    <row r="29" spans="2:21" ht="18" customHeight="1" thickTop="1" x14ac:dyDescent="0.2">
      <c r="H29" s="128"/>
      <c r="I29" s="128"/>
      <c r="J29" s="128"/>
      <c r="K29" s="128"/>
      <c r="L29" s="128"/>
      <c r="M29" s="128"/>
      <c r="N29" s="128"/>
      <c r="O29" s="128"/>
      <c r="P29" s="128"/>
      <c r="Q29" s="128"/>
      <c r="R29" s="128"/>
      <c r="S29" s="128"/>
      <c r="T29" s="128"/>
      <c r="U29" s="128"/>
    </row>
    <row r="30" spans="2:21" ht="18" customHeight="1" x14ac:dyDescent="0.2">
      <c r="B30" s="51" t="s">
        <v>274</v>
      </c>
      <c r="C30" s="46"/>
      <c r="D30" s="46"/>
      <c r="E30" s="46"/>
      <c r="H30" s="128"/>
      <c r="I30" s="128"/>
      <c r="J30" s="128"/>
      <c r="K30" s="128"/>
      <c r="L30" s="128"/>
      <c r="M30" s="128"/>
      <c r="N30" s="128"/>
      <c r="O30" s="128"/>
      <c r="P30" s="128"/>
      <c r="Q30" s="128"/>
      <c r="R30" s="128"/>
      <c r="S30" s="128"/>
      <c r="T30" s="128"/>
      <c r="U30" s="128"/>
    </row>
    <row r="31" spans="2:21" ht="18" customHeight="1" x14ac:dyDescent="0.2">
      <c r="C31" s="96" t="s">
        <v>65</v>
      </c>
      <c r="D31" s="82">
        <f>IFERROR(D28*F31,"")</f>
        <v>0</v>
      </c>
      <c r="F31" s="125">
        <f>IFERROR(G31/(G31+F32)*D33,0)</f>
        <v>0</v>
      </c>
      <c r="G31" s="125">
        <f>IFERROR((0.28*'15E Modelled Path'!O94+0.75*'15E Modelled Path'!O104)*IF(D17&lt;0.8,1,D17),0)</f>
        <v>0</v>
      </c>
      <c r="H31" s="129"/>
      <c r="I31" s="128"/>
      <c r="J31" s="128"/>
      <c r="K31" s="128"/>
      <c r="L31" s="128"/>
      <c r="M31" s="128"/>
      <c r="N31" s="128"/>
      <c r="O31" s="128"/>
      <c r="P31" s="128"/>
      <c r="Q31" s="128"/>
      <c r="R31" s="128"/>
      <c r="S31" s="128"/>
      <c r="T31" s="128"/>
      <c r="U31" s="128"/>
    </row>
    <row r="32" spans="2:21" ht="18" customHeight="1" x14ac:dyDescent="0.2">
      <c r="C32" s="97" t="s">
        <v>66</v>
      </c>
      <c r="D32" s="82" t="str">
        <f>IFERROR(MIN(MAX(0,(#REF!*E32)/(#REF!-#REF!)-(#REF!*E32)/(#REF!-#REF!)),E32),"")</f>
        <v/>
      </c>
      <c r="E32" s="95">
        <v>0</v>
      </c>
      <c r="F32" s="95">
        <v>0</v>
      </c>
      <c r="H32" s="128"/>
      <c r="I32" s="128"/>
      <c r="J32" s="128"/>
      <c r="K32" s="128"/>
      <c r="L32" s="128"/>
      <c r="M32" s="128"/>
      <c r="N32" s="128"/>
      <c r="O32" s="128"/>
      <c r="P32" s="128"/>
      <c r="Q32" s="128"/>
      <c r="R32" s="128"/>
      <c r="S32" s="128"/>
      <c r="T32" s="128"/>
      <c r="U32" s="128"/>
    </row>
    <row r="33" spans="2:21" ht="18" customHeight="1" x14ac:dyDescent="0.2">
      <c r="C33" s="98" t="s">
        <v>61</v>
      </c>
      <c r="D33" s="82">
        <v>16</v>
      </c>
      <c r="H33" s="128"/>
      <c r="I33" s="128"/>
      <c r="J33" s="128"/>
      <c r="K33" s="128"/>
      <c r="L33" s="128"/>
      <c r="M33" s="128"/>
      <c r="N33" s="128"/>
      <c r="O33" s="128"/>
      <c r="P33" s="128"/>
      <c r="Q33" s="128"/>
      <c r="R33" s="128"/>
      <c r="S33" s="128"/>
      <c r="T33" s="128"/>
      <c r="U33" s="128"/>
    </row>
    <row r="34" spans="2:21" ht="18" customHeight="1" x14ac:dyDescent="0.2">
      <c r="C34" s="98"/>
      <c r="D34" s="82"/>
      <c r="H34" s="128"/>
      <c r="I34" s="128"/>
      <c r="J34" s="128"/>
      <c r="K34" s="128"/>
      <c r="L34" s="128"/>
      <c r="M34" s="128"/>
      <c r="N34" s="128"/>
      <c r="O34" s="128"/>
      <c r="P34" s="128"/>
      <c r="Q34" s="128"/>
      <c r="R34" s="128"/>
      <c r="S34" s="128"/>
      <c r="T34" s="128"/>
      <c r="U34" s="128"/>
    </row>
    <row r="35" spans="2:21" ht="18" customHeight="1" x14ac:dyDescent="0.2">
      <c r="C35" s="98"/>
      <c r="D35" s="82"/>
      <c r="H35" s="128"/>
      <c r="I35" s="128"/>
      <c r="J35" s="128"/>
      <c r="K35" s="128"/>
      <c r="L35" s="128"/>
      <c r="M35" s="128"/>
      <c r="N35" s="128"/>
      <c r="O35" s="128"/>
      <c r="P35" s="128"/>
      <c r="Q35" s="128"/>
      <c r="R35" s="128"/>
      <c r="S35" s="128"/>
      <c r="T35" s="128"/>
      <c r="U35" s="128"/>
    </row>
    <row r="37" spans="2:21" s="35" customFormat="1" ht="26.25" x14ac:dyDescent="0.4">
      <c r="B37" s="53" t="s">
        <v>370</v>
      </c>
      <c r="C37" s="53"/>
      <c r="D37" s="54"/>
    </row>
    <row r="38" spans="2:21" s="35" customFormat="1" ht="16.5" customHeight="1" x14ac:dyDescent="0.25">
      <c r="B38" s="52"/>
      <c r="C38" s="52"/>
      <c r="D38" s="36"/>
      <c r="E38" s="36"/>
      <c r="F38" s="192"/>
    </row>
    <row r="39" spans="2:21" ht="18" customHeight="1" x14ac:dyDescent="0.2">
      <c r="B39" s="43" t="s">
        <v>220</v>
      </c>
      <c r="C39" s="43"/>
      <c r="D39" s="194"/>
      <c r="E39" s="41" t="s">
        <v>217</v>
      </c>
    </row>
    <row r="40" spans="2:21" ht="18" customHeight="1" x14ac:dyDescent="0.2">
      <c r="B40" s="84" t="s">
        <v>218</v>
      </c>
      <c r="C40" s="84"/>
      <c r="D40" s="194"/>
      <c r="E40" s="41" t="s">
        <v>217</v>
      </c>
    </row>
    <row r="41" spans="2:21" ht="18" customHeight="1" x14ac:dyDescent="0.2">
      <c r="D41" s="61"/>
    </row>
    <row r="42" spans="2:21" ht="18" customHeight="1" thickBot="1" x14ac:dyDescent="0.25">
      <c r="B42" s="85" t="s">
        <v>219</v>
      </c>
      <c r="C42" s="85"/>
      <c r="D42" s="70">
        <f>IFERROR(D40/D39,0)</f>
        <v>0</v>
      </c>
      <c r="E42" s="85"/>
    </row>
    <row r="43" spans="2:21" s="35" customFormat="1" ht="13.5" thickTop="1" x14ac:dyDescent="0.2">
      <c r="D43" s="71"/>
    </row>
    <row r="44" spans="2:21" ht="18" customHeight="1" x14ac:dyDescent="0.2">
      <c r="B44" s="202" t="s">
        <v>65</v>
      </c>
      <c r="C44" s="199"/>
      <c r="D44" s="199"/>
      <c r="E44" s="199"/>
    </row>
    <row r="45" spans="2:21" ht="18" customHeight="1" x14ac:dyDescent="0.2">
      <c r="B45" s="83"/>
      <c r="C45" s="81" t="s">
        <v>270</v>
      </c>
      <c r="D45" s="86">
        <f>IF(D42&gt;F45,D46,0)</f>
        <v>0</v>
      </c>
      <c r="E45" s="83"/>
      <c r="F45" s="87">
        <v>0.15</v>
      </c>
      <c r="G45" s="88"/>
      <c r="H45" s="88"/>
      <c r="I45" s="88"/>
      <c r="J45" s="88"/>
      <c r="K45" s="88"/>
      <c r="L45" s="88"/>
      <c r="M45" s="88"/>
      <c r="N45" s="88"/>
      <c r="O45" s="88"/>
      <c r="P45" s="88"/>
      <c r="Q45" s="88"/>
      <c r="R45" s="88"/>
      <c r="S45" s="88"/>
    </row>
    <row r="46" spans="2:21" ht="18" customHeight="1" x14ac:dyDescent="0.2">
      <c r="B46" s="83"/>
      <c r="C46" s="81" t="s">
        <v>271</v>
      </c>
      <c r="D46" s="86">
        <v>1</v>
      </c>
      <c r="E46" s="83"/>
      <c r="F46" s="88"/>
      <c r="G46" s="88"/>
      <c r="H46" s="88"/>
      <c r="I46" s="88"/>
      <c r="J46" s="88"/>
      <c r="K46" s="88"/>
      <c r="L46" s="88"/>
      <c r="M46" s="88"/>
      <c r="N46" s="88"/>
      <c r="O46" s="88"/>
      <c r="P46" s="88"/>
      <c r="Q46" s="88"/>
      <c r="R46" s="88"/>
      <c r="S46" s="88"/>
    </row>
  </sheetData>
  <sheetProtection password="E6B1" sheet="1" objects="1" scenarios="1"/>
  <pageMargins left="0.7" right="0.7" top="0.75" bottom="0.75" header="0.3" footer="0.3"/>
  <pageSetup paperSize="254" scale="28"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19"/>
  <sheetViews>
    <sheetView showGridLines="0" zoomScaleNormal="100" workbookViewId="0"/>
  </sheetViews>
  <sheetFormatPr defaultRowHeight="12.75" x14ac:dyDescent="0.2"/>
  <cols>
    <col min="1" max="1" width="1.42578125" customWidth="1"/>
    <col min="2" max="2" width="37.85546875" style="19" customWidth="1"/>
    <col min="3" max="11" width="18.140625" customWidth="1"/>
    <col min="12" max="12" width="50.28515625" customWidth="1"/>
    <col min="14" max="17" width="9.140625" customWidth="1"/>
  </cols>
  <sheetData>
    <row r="1" spans="2:18" s="25" customFormat="1" ht="14.25" x14ac:dyDescent="0.2">
      <c r="D1" s="26"/>
      <c r="O1" s="25" t="s">
        <v>258</v>
      </c>
      <c r="P1" s="25" t="s">
        <v>258</v>
      </c>
      <c r="Q1" s="25" t="s">
        <v>258</v>
      </c>
    </row>
    <row r="2" spans="2:18" s="25" customFormat="1" ht="103.5" customHeight="1" x14ac:dyDescent="0.35">
      <c r="B2" s="27"/>
      <c r="D2" s="26"/>
    </row>
    <row r="3" spans="2:18" s="25" customFormat="1" ht="72.75" customHeight="1" x14ac:dyDescent="0.35">
      <c r="B3" s="27"/>
      <c r="D3" s="26"/>
    </row>
    <row r="4" spans="2:18" s="25" customFormat="1" ht="9.75" customHeight="1" x14ac:dyDescent="0.35">
      <c r="B4" s="27"/>
      <c r="D4" s="26"/>
    </row>
    <row r="5" spans="2:18" s="25" customFormat="1" ht="14.25" x14ac:dyDescent="0.2">
      <c r="B5" s="158" t="s">
        <v>260</v>
      </c>
      <c r="C5" s="29"/>
      <c r="D5" s="26"/>
    </row>
    <row r="6" spans="2:18" s="35" customFormat="1" ht="14.25" x14ac:dyDescent="0.2">
      <c r="H6" s="30"/>
      <c r="L6" s="30"/>
      <c r="M6" s="30"/>
      <c r="N6" s="30"/>
      <c r="O6" s="30"/>
      <c r="P6" s="30"/>
      <c r="Q6" s="30"/>
      <c r="R6" s="30"/>
    </row>
    <row r="7" spans="2:18" s="35" customFormat="1" x14ac:dyDescent="0.2">
      <c r="B7" s="55" t="s">
        <v>386</v>
      </c>
    </row>
    <row r="8" spans="2:18" s="35" customFormat="1" x14ac:dyDescent="0.2"/>
    <row r="9" spans="2:18" s="35" customFormat="1" ht="26.25" x14ac:dyDescent="0.4">
      <c r="B9" s="53" t="s">
        <v>359</v>
      </c>
      <c r="C9" s="53"/>
      <c r="D9" s="54"/>
    </row>
    <row r="10" spans="2:18" s="35" customFormat="1" ht="22.5" customHeight="1" x14ac:dyDescent="0.25">
      <c r="B10" s="52" t="s">
        <v>264</v>
      </c>
      <c r="C10" s="52"/>
      <c r="D10" s="36"/>
      <c r="E10" s="36"/>
    </row>
    <row r="11" spans="2:18" s="1" customFormat="1" ht="18" customHeight="1" x14ac:dyDescent="0.2">
      <c r="B11" s="90" t="s">
        <v>84</v>
      </c>
      <c r="C11" s="56" t="s">
        <v>121</v>
      </c>
    </row>
    <row r="12" spans="2:18" s="1" customFormat="1" ht="30" customHeight="1" x14ac:dyDescent="0.2">
      <c r="B12" s="91" t="s">
        <v>119</v>
      </c>
      <c r="C12" s="56" t="s">
        <v>64</v>
      </c>
    </row>
    <row r="13" spans="2:18" s="1" customFormat="1" ht="18" customHeight="1" x14ac:dyDescent="0.2">
      <c r="B13" s="15"/>
    </row>
    <row r="14" spans="2:18" s="1" customFormat="1" ht="18" customHeight="1" x14ac:dyDescent="0.2">
      <c r="B14" s="15" t="s">
        <v>151</v>
      </c>
      <c r="D14" s="6" t="s">
        <v>208</v>
      </c>
    </row>
    <row r="15" spans="2:18" s="1" customFormat="1" ht="18" customHeight="1" x14ac:dyDescent="0.2">
      <c r="B15" s="45" t="s">
        <v>101</v>
      </c>
      <c r="C15" s="99">
        <f>IFERROR(VLOOKUP($C$11,GeoGHGFactor,2,FALSE),"Select Location")</f>
        <v>1.05</v>
      </c>
      <c r="D15" s="45" t="s">
        <v>149</v>
      </c>
      <c r="O15" s="1" t="s">
        <v>102</v>
      </c>
    </row>
    <row r="16" spans="2:18" s="1" customFormat="1" ht="18" customHeight="1" x14ac:dyDescent="0.2">
      <c r="B16" s="45" t="s">
        <v>85</v>
      </c>
      <c r="C16" s="99">
        <f>IFERROR(VLOOKUP($C$11,GeoGHGFactor,3,FALSE),"Select Location")</f>
        <v>6.4129999999999993E-2</v>
      </c>
      <c r="D16" s="45" t="s">
        <v>150</v>
      </c>
      <c r="O16" s="1" t="s">
        <v>102</v>
      </c>
    </row>
    <row r="17" spans="2:16" s="1" customFormat="1" ht="18" customHeight="1" x14ac:dyDescent="0.2">
      <c r="B17" s="45" t="s">
        <v>94</v>
      </c>
      <c r="C17" s="99">
        <f>64.9/1000</f>
        <v>6.4899999999999999E-2</v>
      </c>
      <c r="D17" s="45" t="s">
        <v>150</v>
      </c>
      <c r="O17" s="1" t="s">
        <v>148</v>
      </c>
    </row>
    <row r="18" spans="2:16" s="1" customFormat="1" ht="18" customHeight="1" x14ac:dyDescent="0.2">
      <c r="B18" s="45" t="s">
        <v>95</v>
      </c>
      <c r="C18" s="99">
        <f>74.8/1000</f>
        <v>7.4799999999999991E-2</v>
      </c>
      <c r="D18" s="45" t="s">
        <v>150</v>
      </c>
    </row>
    <row r="19" spans="2:16" s="1" customFormat="1" ht="18" customHeight="1" x14ac:dyDescent="0.2">
      <c r="B19" s="45" t="s">
        <v>96</v>
      </c>
      <c r="C19" s="99">
        <f>93.03/1000</f>
        <v>9.3030000000000002E-2</v>
      </c>
      <c r="D19" s="45" t="s">
        <v>150</v>
      </c>
    </row>
    <row r="20" spans="2:16" s="1" customFormat="1" ht="18" customHeight="1" x14ac:dyDescent="0.2">
      <c r="B20" s="45" t="s">
        <v>97</v>
      </c>
      <c r="C20" s="99">
        <f>1.8/1000</f>
        <v>1.8E-3</v>
      </c>
      <c r="D20" s="45" t="s">
        <v>150</v>
      </c>
    </row>
    <row r="21" spans="2:16" s="1" customFormat="1" ht="18" customHeight="1" x14ac:dyDescent="0.2">
      <c r="B21" s="45" t="s">
        <v>98</v>
      </c>
      <c r="C21" s="99">
        <f>0.26/1000</f>
        <v>2.6000000000000003E-4</v>
      </c>
      <c r="D21" s="45" t="s">
        <v>150</v>
      </c>
    </row>
    <row r="22" spans="2:16" s="1" customFormat="1" ht="18" customHeight="1" x14ac:dyDescent="0.2">
      <c r="B22" s="45" t="s">
        <v>99</v>
      </c>
      <c r="C22" s="99">
        <f>IF(ISBLANK(H28)=TRUE,P30,IF(H28="&lt;90%",C28,P30-F28/10*(P30-C28)))</f>
        <v>4.8611111111111112E-2</v>
      </c>
      <c r="D22" s="45" t="s">
        <v>150</v>
      </c>
      <c r="O22" s="1" t="s">
        <v>148</v>
      </c>
    </row>
    <row r="23" spans="2:16" s="1" customFormat="1" ht="18" customHeight="1" x14ac:dyDescent="0.2">
      <c r="B23" s="45" t="s">
        <v>100</v>
      </c>
      <c r="C23" s="99">
        <f>IF(ISBLANK(H29)=TRUE,P31,IF(H29="&lt;90%",C29,P31-F29/10*(P31-C29)))</f>
        <v>8.4991566265060242E-2</v>
      </c>
      <c r="D23" s="45" t="s">
        <v>150</v>
      </c>
      <c r="O23" s="1" t="s">
        <v>148</v>
      </c>
    </row>
    <row r="24" spans="2:16" s="1" customFormat="1" ht="18" customHeight="1" x14ac:dyDescent="0.2">
      <c r="B24" s="45" t="s">
        <v>215</v>
      </c>
      <c r="C24" s="99">
        <f>IF(ISBLANK(H30)=TRUE,P32,IF(H30="&lt;90%",C30,P32-F30/10*(P32-C30)))</f>
        <v>8.4991566265060242E-2</v>
      </c>
      <c r="D24" s="45" t="s">
        <v>150</v>
      </c>
      <c r="O24" s="1" t="s">
        <v>148</v>
      </c>
    </row>
    <row r="25" spans="2:16" s="1" customFormat="1" ht="18" customHeight="1" x14ac:dyDescent="0.2">
      <c r="B25" s="45" t="s">
        <v>239</v>
      </c>
      <c r="C25" s="99">
        <f>P33-F31/10*(P33-C31)</f>
        <v>1.05</v>
      </c>
      <c r="D25" s="45" t="s">
        <v>149</v>
      </c>
    </row>
    <row r="26" spans="2:16" s="1" customFormat="1" ht="18" customHeight="1" x14ac:dyDescent="0.2">
      <c r="B26" s="187"/>
      <c r="C26" s="188"/>
      <c r="D26" s="187"/>
    </row>
    <row r="27" spans="2:16" s="1" customFormat="1" ht="18" customHeight="1" x14ac:dyDescent="0.2">
      <c r="B27" s="6" t="s">
        <v>320</v>
      </c>
      <c r="D27" s="6" t="s">
        <v>208</v>
      </c>
      <c r="E27" s="6" t="s">
        <v>321</v>
      </c>
      <c r="G27" s="6" t="s">
        <v>322</v>
      </c>
      <c r="O27" s="1" t="s">
        <v>148</v>
      </c>
    </row>
    <row r="28" spans="2:16" s="1" customFormat="1" ht="18" customHeight="1" x14ac:dyDescent="0.2">
      <c r="B28" s="189" t="s">
        <v>279</v>
      </c>
      <c r="C28" s="185"/>
      <c r="D28" s="186" t="s">
        <v>150</v>
      </c>
      <c r="E28" s="189" t="s">
        <v>235</v>
      </c>
      <c r="F28" s="185"/>
      <c r="G28" s="189" t="s">
        <v>237</v>
      </c>
      <c r="H28" s="185"/>
    </row>
    <row r="29" spans="2:16" s="1" customFormat="1" ht="18" customHeight="1" x14ac:dyDescent="0.2">
      <c r="B29" s="189" t="s">
        <v>280</v>
      </c>
      <c r="C29" s="185"/>
      <c r="D29" s="186" t="s">
        <v>150</v>
      </c>
      <c r="E29" s="189" t="s">
        <v>235</v>
      </c>
      <c r="F29" s="185"/>
      <c r="G29" s="189" t="s">
        <v>237</v>
      </c>
      <c r="H29" s="185"/>
    </row>
    <row r="30" spans="2:16" s="1" customFormat="1" ht="18" customHeight="1" x14ac:dyDescent="0.2">
      <c r="B30" s="189" t="s">
        <v>281</v>
      </c>
      <c r="C30" s="185"/>
      <c r="D30" s="186" t="s">
        <v>150</v>
      </c>
      <c r="E30" s="189" t="s">
        <v>235</v>
      </c>
      <c r="F30" s="185"/>
      <c r="G30" s="189" t="s">
        <v>237</v>
      </c>
      <c r="H30" s="185"/>
      <c r="O30" s="6" t="s">
        <v>238</v>
      </c>
      <c r="P30" s="1">
        <f>C15/6/3.6</f>
        <v>4.8611111111111112E-2</v>
      </c>
    </row>
    <row r="31" spans="2:16" s="1" customFormat="1" ht="18" customHeight="1" x14ac:dyDescent="0.2">
      <c r="B31" s="190" t="s">
        <v>282</v>
      </c>
      <c r="C31" s="185"/>
      <c r="D31" s="186" t="s">
        <v>149</v>
      </c>
      <c r="E31" s="189" t="s">
        <v>234</v>
      </c>
      <c r="F31" s="185"/>
      <c r="O31" s="6" t="s">
        <v>238</v>
      </c>
      <c r="P31" s="1">
        <f>C16/0.83*1.1</f>
        <v>8.4991566265060242E-2</v>
      </c>
    </row>
    <row r="32" spans="2:16" x14ac:dyDescent="0.2">
      <c r="O32" s="6" t="s">
        <v>238</v>
      </c>
      <c r="P32" s="1">
        <f>C16/0.83*1.1</f>
        <v>8.4991566265060242E-2</v>
      </c>
    </row>
    <row r="33" spans="2:16" s="1" customFormat="1" ht="22.5" customHeight="1" x14ac:dyDescent="0.2">
      <c r="B33" s="101"/>
      <c r="C33" s="249" t="s">
        <v>83</v>
      </c>
      <c r="D33" s="250"/>
      <c r="E33" s="250"/>
      <c r="F33" s="249" t="s">
        <v>109</v>
      </c>
      <c r="G33" s="251"/>
      <c r="H33" s="249" t="s">
        <v>292</v>
      </c>
      <c r="I33" s="250"/>
      <c r="J33" s="251"/>
      <c r="K33" s="250" t="s">
        <v>103</v>
      </c>
      <c r="L33" s="250" t="s">
        <v>307</v>
      </c>
      <c r="O33" s="6" t="s">
        <v>238</v>
      </c>
      <c r="P33" s="1">
        <f>C15</f>
        <v>1.05</v>
      </c>
    </row>
    <row r="34" spans="2:16" s="1" customFormat="1" ht="22.5" customHeight="1" x14ac:dyDescent="0.2">
      <c r="B34" s="102"/>
      <c r="C34" s="147" t="s">
        <v>88</v>
      </c>
      <c r="D34" s="182" t="s">
        <v>317</v>
      </c>
      <c r="E34" s="145" t="s">
        <v>77</v>
      </c>
      <c r="F34" s="182" t="s">
        <v>317</v>
      </c>
      <c r="G34" s="148" t="s">
        <v>77</v>
      </c>
      <c r="H34" s="147" t="s">
        <v>88</v>
      </c>
      <c r="I34" s="183" t="s">
        <v>317</v>
      </c>
      <c r="J34" s="148" t="s">
        <v>77</v>
      </c>
      <c r="K34" s="250"/>
      <c r="L34" s="250"/>
    </row>
    <row r="35" spans="2:16" s="1" customFormat="1" ht="18" customHeight="1" x14ac:dyDescent="0.2">
      <c r="B35" s="57" t="s">
        <v>9</v>
      </c>
      <c r="C35" s="149"/>
      <c r="D35" s="57"/>
      <c r="E35" s="57"/>
      <c r="F35" s="149"/>
      <c r="G35" s="150"/>
      <c r="H35" s="149"/>
      <c r="I35" s="57"/>
      <c r="J35" s="150"/>
      <c r="K35" s="57"/>
      <c r="L35" s="57"/>
    </row>
    <row r="36" spans="2:16" s="1" customFormat="1" ht="18" customHeight="1" x14ac:dyDescent="0.2">
      <c r="B36" s="110" t="s">
        <v>67</v>
      </c>
      <c r="C36" s="118"/>
      <c r="D36" s="118"/>
      <c r="E36" s="100" t="str">
        <f t="shared" ref="E36:E43" si="0">IFERROR(VLOOKUP(C36,$B$15:$C$25,2,FALSE)*D36,"")</f>
        <v/>
      </c>
      <c r="F36" s="118"/>
      <c r="G36" s="100" t="str">
        <f t="shared" ref="G36:G43" si="1">IFERROR(VLOOKUP(C36,$B$15:$C$25,2,FALSE)*F36,"")</f>
        <v/>
      </c>
      <c r="H36" s="118"/>
      <c r="I36" s="118"/>
      <c r="J36" s="100" t="str">
        <f t="shared" ref="J36:J43" si="2">IFERROR(VLOOKUP(H36,$B$15:$C$25,2,FALSE)*I36,"")</f>
        <v/>
      </c>
      <c r="K36" s="106" t="str">
        <f>IFERROR(IF(H36=$B$23,(D36-F36)/D36,(D36-I36)/D36),"")</f>
        <v/>
      </c>
      <c r="L36" s="152"/>
    </row>
    <row r="37" spans="2:16" s="1" customFormat="1" ht="18" customHeight="1" x14ac:dyDescent="0.2">
      <c r="B37" s="110" t="s">
        <v>67</v>
      </c>
      <c r="C37" s="118"/>
      <c r="D37" s="118"/>
      <c r="E37" s="100" t="str">
        <f t="shared" si="0"/>
        <v/>
      </c>
      <c r="F37" s="118"/>
      <c r="G37" s="100" t="str">
        <f t="shared" si="1"/>
        <v/>
      </c>
      <c r="H37" s="118"/>
      <c r="I37" s="118"/>
      <c r="J37" s="100" t="str">
        <f t="shared" si="2"/>
        <v/>
      </c>
      <c r="K37" s="106" t="str">
        <f>IFERROR(IF(H37=$B$23,(D37-F37)/D37,(D37-I37)/D37),"")</f>
        <v/>
      </c>
      <c r="L37" s="152"/>
    </row>
    <row r="38" spans="2:16" s="1" customFormat="1" ht="18" customHeight="1" x14ac:dyDescent="0.2">
      <c r="B38" s="110" t="s">
        <v>68</v>
      </c>
      <c r="C38" s="118"/>
      <c r="D38" s="118"/>
      <c r="E38" s="100" t="str">
        <f t="shared" si="0"/>
        <v/>
      </c>
      <c r="F38" s="118"/>
      <c r="G38" s="100" t="str">
        <f t="shared" si="1"/>
        <v/>
      </c>
      <c r="H38" s="118"/>
      <c r="I38" s="118"/>
      <c r="J38" s="100" t="str">
        <f t="shared" si="2"/>
        <v/>
      </c>
      <c r="K38" s="106" t="str">
        <f>IFERROR(IF(H38=$B$22,(D38-F38)/D38,(D38-I38)/D38),"")</f>
        <v/>
      </c>
      <c r="L38" s="152"/>
    </row>
    <row r="39" spans="2:16" s="1" customFormat="1" ht="18" customHeight="1" x14ac:dyDescent="0.2">
      <c r="B39" s="110" t="s">
        <v>68</v>
      </c>
      <c r="C39" s="118"/>
      <c r="D39" s="118"/>
      <c r="E39" s="100" t="str">
        <f t="shared" si="0"/>
        <v/>
      </c>
      <c r="F39" s="118"/>
      <c r="G39" s="100" t="str">
        <f t="shared" si="1"/>
        <v/>
      </c>
      <c r="H39" s="118"/>
      <c r="I39" s="118"/>
      <c r="J39" s="100" t="str">
        <f t="shared" si="2"/>
        <v/>
      </c>
      <c r="K39" s="106" t="str">
        <f>IFERROR(IF(H39=$B$22,(D39-F39)/D39,(D39-I39)/D39),"")</f>
        <v/>
      </c>
      <c r="L39" s="152"/>
    </row>
    <row r="40" spans="2:16" s="1" customFormat="1" ht="18" customHeight="1" x14ac:dyDescent="0.2">
      <c r="B40" s="110" t="s">
        <v>69</v>
      </c>
      <c r="C40" s="118"/>
      <c r="D40" s="118"/>
      <c r="E40" s="100" t="str">
        <f t="shared" si="0"/>
        <v/>
      </c>
      <c r="F40" s="118"/>
      <c r="G40" s="100" t="str">
        <f t="shared" si="1"/>
        <v/>
      </c>
      <c r="H40" s="118"/>
      <c r="I40" s="118"/>
      <c r="J40" s="100" t="str">
        <f t="shared" si="2"/>
        <v/>
      </c>
      <c r="K40" s="106" t="str">
        <f>IFERROR((D40-I40)/D40,"")</f>
        <v/>
      </c>
      <c r="L40" s="152"/>
    </row>
    <row r="41" spans="2:16" s="1" customFormat="1" ht="18" customHeight="1" x14ac:dyDescent="0.2">
      <c r="B41" s="110" t="s">
        <v>70</v>
      </c>
      <c r="C41" s="118"/>
      <c r="D41" s="118"/>
      <c r="E41" s="100" t="str">
        <f t="shared" si="0"/>
        <v/>
      </c>
      <c r="F41" s="118"/>
      <c r="G41" s="100" t="str">
        <f t="shared" si="1"/>
        <v/>
      </c>
      <c r="H41" s="118"/>
      <c r="I41" s="118"/>
      <c r="J41" s="100" t="str">
        <f t="shared" si="2"/>
        <v/>
      </c>
      <c r="K41" s="106" t="str">
        <f t="shared" ref="K41:K43" si="3">IFERROR((D41-I41)/D41,"")</f>
        <v/>
      </c>
      <c r="L41" s="152"/>
    </row>
    <row r="42" spans="2:16" s="1" customFormat="1" ht="18" customHeight="1" x14ac:dyDescent="0.2">
      <c r="B42" s="110" t="s">
        <v>71</v>
      </c>
      <c r="C42" s="118"/>
      <c r="D42" s="118"/>
      <c r="E42" s="100" t="str">
        <f t="shared" si="0"/>
        <v/>
      </c>
      <c r="F42" s="118"/>
      <c r="G42" s="100" t="str">
        <f t="shared" si="1"/>
        <v/>
      </c>
      <c r="H42" s="118"/>
      <c r="I42" s="118"/>
      <c r="J42" s="100" t="str">
        <f t="shared" si="2"/>
        <v/>
      </c>
      <c r="K42" s="106" t="str">
        <f t="shared" si="3"/>
        <v/>
      </c>
      <c r="L42" s="152"/>
    </row>
    <row r="43" spans="2:16" s="1" customFormat="1" ht="18" customHeight="1" x14ac:dyDescent="0.2">
      <c r="B43" s="110" t="s">
        <v>72</v>
      </c>
      <c r="C43" s="118"/>
      <c r="D43" s="118"/>
      <c r="E43" s="100" t="str">
        <f t="shared" si="0"/>
        <v/>
      </c>
      <c r="F43" s="118"/>
      <c r="G43" s="100" t="str">
        <f t="shared" si="1"/>
        <v/>
      </c>
      <c r="H43" s="118"/>
      <c r="I43" s="118"/>
      <c r="J43" s="100" t="str">
        <f t="shared" si="2"/>
        <v/>
      </c>
      <c r="K43" s="106" t="str">
        <f t="shared" si="3"/>
        <v/>
      </c>
      <c r="L43" s="152"/>
    </row>
    <row r="44" spans="2:16" s="1" customFormat="1" ht="18" customHeight="1" x14ac:dyDescent="0.2">
      <c r="B44" s="57" t="s">
        <v>73</v>
      </c>
      <c r="C44" s="149"/>
      <c r="D44" s="57"/>
      <c r="E44" s="57"/>
      <c r="F44" s="149"/>
      <c r="G44" s="150"/>
      <c r="H44" s="149"/>
      <c r="I44" s="57"/>
      <c r="J44" s="150"/>
      <c r="K44" s="57"/>
      <c r="L44" s="57"/>
    </row>
    <row r="45" spans="2:16" s="1" customFormat="1" ht="18" customHeight="1" x14ac:dyDescent="0.2">
      <c r="B45" s="110" t="s">
        <v>12</v>
      </c>
      <c r="C45" s="118"/>
      <c r="D45" s="118"/>
      <c r="E45" s="100" t="str">
        <f t="shared" ref="E45:E57" si="4">IFERROR(VLOOKUP(C45,$B$15:$C$25,2,FALSE)*D45,"")</f>
        <v/>
      </c>
      <c r="F45" s="153">
        <f>D45</f>
        <v>0</v>
      </c>
      <c r="G45" s="100" t="str">
        <f t="shared" ref="G45:G57" si="5">IFERROR(VLOOKUP(C45,$B$15:$C$25,2,FALSE)*F45,"")</f>
        <v/>
      </c>
      <c r="H45" s="118"/>
      <c r="I45" s="118"/>
      <c r="J45" s="100" t="str">
        <f t="shared" ref="J45:J57" si="6">IFERROR(VLOOKUP(H45,$B$15:$C$25,2,FALSE)*I45,"")</f>
        <v/>
      </c>
      <c r="K45" s="106" t="str">
        <f t="shared" ref="K45:K57" si="7">IFERROR((D45-I45)/D45,"")</f>
        <v/>
      </c>
      <c r="L45" s="152"/>
    </row>
    <row r="46" spans="2:16" s="1" customFormat="1" ht="18" customHeight="1" x14ac:dyDescent="0.2">
      <c r="B46" s="110" t="s">
        <v>106</v>
      </c>
      <c r="C46" s="118"/>
      <c r="D46" s="118"/>
      <c r="E46" s="100" t="str">
        <f t="shared" si="4"/>
        <v/>
      </c>
      <c r="F46" s="153">
        <f t="shared" ref="F46:F57" si="8">D46</f>
        <v>0</v>
      </c>
      <c r="G46" s="100" t="str">
        <f t="shared" si="5"/>
        <v/>
      </c>
      <c r="H46" s="118"/>
      <c r="I46" s="118"/>
      <c r="J46" s="100" t="str">
        <f t="shared" si="6"/>
        <v/>
      </c>
      <c r="K46" s="106" t="str">
        <f t="shared" si="7"/>
        <v/>
      </c>
      <c r="L46" s="152"/>
    </row>
    <row r="47" spans="2:16" s="1" customFormat="1" ht="18" customHeight="1" x14ac:dyDescent="0.2">
      <c r="B47" s="110" t="s">
        <v>107</v>
      </c>
      <c r="C47" s="118"/>
      <c r="D47" s="118"/>
      <c r="E47" s="100" t="str">
        <f t="shared" si="4"/>
        <v/>
      </c>
      <c r="F47" s="153">
        <f t="shared" si="8"/>
        <v>0</v>
      </c>
      <c r="G47" s="100" t="str">
        <f t="shared" si="5"/>
        <v/>
      </c>
      <c r="H47" s="118"/>
      <c r="I47" s="118"/>
      <c r="J47" s="100" t="str">
        <f t="shared" si="6"/>
        <v/>
      </c>
      <c r="K47" s="106" t="str">
        <f t="shared" si="7"/>
        <v/>
      </c>
      <c r="L47" s="152"/>
    </row>
    <row r="48" spans="2:16" s="1" customFormat="1" ht="18" customHeight="1" x14ac:dyDescent="0.2">
      <c r="B48" s="110" t="s">
        <v>74</v>
      </c>
      <c r="C48" s="118"/>
      <c r="D48" s="118"/>
      <c r="E48" s="100" t="str">
        <f t="shared" si="4"/>
        <v/>
      </c>
      <c r="F48" s="153">
        <f t="shared" si="8"/>
        <v>0</v>
      </c>
      <c r="G48" s="100" t="str">
        <f t="shared" si="5"/>
        <v/>
      </c>
      <c r="H48" s="118"/>
      <c r="I48" s="118"/>
      <c r="J48" s="100" t="str">
        <f t="shared" si="6"/>
        <v/>
      </c>
      <c r="K48" s="106" t="str">
        <f t="shared" si="7"/>
        <v/>
      </c>
      <c r="L48" s="152"/>
    </row>
    <row r="49" spans="2:12" s="1" customFormat="1" ht="18" customHeight="1" x14ac:dyDescent="0.2">
      <c r="B49" s="110" t="s">
        <v>75</v>
      </c>
      <c r="C49" s="118"/>
      <c r="D49" s="118"/>
      <c r="E49" s="100" t="str">
        <f t="shared" si="4"/>
        <v/>
      </c>
      <c r="F49" s="153">
        <f t="shared" si="8"/>
        <v>0</v>
      </c>
      <c r="G49" s="100" t="str">
        <f t="shared" si="5"/>
        <v/>
      </c>
      <c r="H49" s="118"/>
      <c r="I49" s="118"/>
      <c r="J49" s="100" t="str">
        <f t="shared" si="6"/>
        <v/>
      </c>
      <c r="K49" s="106" t="str">
        <f t="shared" si="7"/>
        <v/>
      </c>
      <c r="L49" s="152"/>
    </row>
    <row r="50" spans="2:12" s="1" customFormat="1" ht="18" customHeight="1" x14ac:dyDescent="0.2">
      <c r="B50" s="110" t="s">
        <v>76</v>
      </c>
      <c r="C50" s="118"/>
      <c r="D50" s="118"/>
      <c r="E50" s="100" t="str">
        <f t="shared" si="4"/>
        <v/>
      </c>
      <c r="F50" s="153">
        <f t="shared" si="8"/>
        <v>0</v>
      </c>
      <c r="G50" s="100" t="str">
        <f t="shared" si="5"/>
        <v/>
      </c>
      <c r="H50" s="118"/>
      <c r="I50" s="118"/>
      <c r="J50" s="100" t="str">
        <f t="shared" si="6"/>
        <v/>
      </c>
      <c r="K50" s="106" t="str">
        <f t="shared" si="7"/>
        <v/>
      </c>
      <c r="L50" s="152"/>
    </row>
    <row r="51" spans="2:12" s="1" customFormat="1" ht="18" customHeight="1" x14ac:dyDescent="0.2">
      <c r="B51" s="110" t="s">
        <v>222</v>
      </c>
      <c r="C51" s="118"/>
      <c r="D51" s="118"/>
      <c r="E51" s="100" t="str">
        <f t="shared" si="4"/>
        <v/>
      </c>
      <c r="F51" s="153">
        <f t="shared" si="8"/>
        <v>0</v>
      </c>
      <c r="G51" s="100" t="str">
        <f t="shared" si="5"/>
        <v/>
      </c>
      <c r="H51" s="118"/>
      <c r="I51" s="118"/>
      <c r="J51" s="100" t="str">
        <f t="shared" si="6"/>
        <v/>
      </c>
      <c r="K51" s="106" t="str">
        <f t="shared" si="7"/>
        <v/>
      </c>
      <c r="L51" s="152"/>
    </row>
    <row r="52" spans="2:12" s="1" customFormat="1" ht="18" customHeight="1" x14ac:dyDescent="0.2">
      <c r="B52" s="110" t="s">
        <v>236</v>
      </c>
      <c r="C52" s="118"/>
      <c r="D52" s="118"/>
      <c r="E52" s="100" t="str">
        <f t="shared" si="4"/>
        <v/>
      </c>
      <c r="F52" s="153">
        <f t="shared" si="8"/>
        <v>0</v>
      </c>
      <c r="G52" s="100" t="str">
        <f t="shared" si="5"/>
        <v/>
      </c>
      <c r="H52" s="118"/>
      <c r="I52" s="118"/>
      <c r="J52" s="100" t="str">
        <f t="shared" si="6"/>
        <v/>
      </c>
      <c r="K52" s="106" t="str">
        <f t="shared" si="7"/>
        <v/>
      </c>
      <c r="L52" s="152"/>
    </row>
    <row r="53" spans="2:12" s="1" customFormat="1" ht="18" customHeight="1" x14ac:dyDescent="0.2">
      <c r="B53" s="154" t="s">
        <v>89</v>
      </c>
      <c r="C53" s="118"/>
      <c r="D53" s="118"/>
      <c r="E53" s="100" t="str">
        <f t="shared" si="4"/>
        <v/>
      </c>
      <c r="F53" s="153">
        <f t="shared" si="8"/>
        <v>0</v>
      </c>
      <c r="G53" s="100" t="str">
        <f t="shared" si="5"/>
        <v/>
      </c>
      <c r="H53" s="118"/>
      <c r="I53" s="118"/>
      <c r="J53" s="100" t="str">
        <f t="shared" si="6"/>
        <v/>
      </c>
      <c r="K53" s="106" t="str">
        <f t="shared" si="7"/>
        <v/>
      </c>
      <c r="L53" s="152"/>
    </row>
    <row r="54" spans="2:12" s="1" customFormat="1" ht="18" customHeight="1" x14ac:dyDescent="0.2">
      <c r="B54" s="154" t="s">
        <v>90</v>
      </c>
      <c r="C54" s="118"/>
      <c r="D54" s="118"/>
      <c r="E54" s="100" t="str">
        <f t="shared" si="4"/>
        <v/>
      </c>
      <c r="F54" s="153">
        <f t="shared" si="8"/>
        <v>0</v>
      </c>
      <c r="G54" s="100" t="str">
        <f t="shared" si="5"/>
        <v/>
      </c>
      <c r="H54" s="118"/>
      <c r="I54" s="118"/>
      <c r="J54" s="100" t="str">
        <f t="shared" si="6"/>
        <v/>
      </c>
      <c r="K54" s="106" t="str">
        <f t="shared" si="7"/>
        <v/>
      </c>
      <c r="L54" s="152"/>
    </row>
    <row r="55" spans="2:12" s="1" customFormat="1" ht="18" customHeight="1" x14ac:dyDescent="0.2">
      <c r="B55" s="154" t="s">
        <v>91</v>
      </c>
      <c r="C55" s="118"/>
      <c r="D55" s="118"/>
      <c r="E55" s="100" t="str">
        <f t="shared" si="4"/>
        <v/>
      </c>
      <c r="F55" s="153">
        <f t="shared" si="8"/>
        <v>0</v>
      </c>
      <c r="G55" s="100" t="str">
        <f t="shared" si="5"/>
        <v/>
      </c>
      <c r="H55" s="118"/>
      <c r="I55" s="118"/>
      <c r="J55" s="100" t="str">
        <f t="shared" si="6"/>
        <v/>
      </c>
      <c r="K55" s="106" t="str">
        <f t="shared" si="7"/>
        <v/>
      </c>
      <c r="L55" s="152"/>
    </row>
    <row r="56" spans="2:12" s="1" customFormat="1" ht="18" customHeight="1" x14ac:dyDescent="0.2">
      <c r="B56" s="154" t="s">
        <v>92</v>
      </c>
      <c r="C56" s="118"/>
      <c r="D56" s="118"/>
      <c r="E56" s="100" t="str">
        <f t="shared" si="4"/>
        <v/>
      </c>
      <c r="F56" s="153">
        <f t="shared" si="8"/>
        <v>0</v>
      </c>
      <c r="G56" s="100" t="str">
        <f t="shared" si="5"/>
        <v/>
      </c>
      <c r="H56" s="118"/>
      <c r="I56" s="118"/>
      <c r="J56" s="100" t="str">
        <f t="shared" si="6"/>
        <v/>
      </c>
      <c r="K56" s="106" t="str">
        <f t="shared" si="7"/>
        <v/>
      </c>
      <c r="L56" s="152"/>
    </row>
    <row r="57" spans="2:12" s="1" customFormat="1" ht="18" customHeight="1" x14ac:dyDescent="0.2">
      <c r="B57" s="154" t="s">
        <v>93</v>
      </c>
      <c r="C57" s="118"/>
      <c r="D57" s="118"/>
      <c r="E57" s="100" t="str">
        <f t="shared" si="4"/>
        <v/>
      </c>
      <c r="F57" s="153">
        <f t="shared" si="8"/>
        <v>0</v>
      </c>
      <c r="G57" s="100" t="str">
        <f t="shared" si="5"/>
        <v/>
      </c>
      <c r="H57" s="118"/>
      <c r="I57" s="118"/>
      <c r="J57" s="100" t="str">
        <f t="shared" si="6"/>
        <v/>
      </c>
      <c r="K57" s="106" t="str">
        <f t="shared" si="7"/>
        <v/>
      </c>
      <c r="L57" s="152"/>
    </row>
    <row r="58" spans="2:12" s="1" customFormat="1" ht="18" customHeight="1" x14ac:dyDescent="0.2">
      <c r="B58" s="111" t="s">
        <v>293</v>
      </c>
      <c r="C58" s="138"/>
      <c r="D58" s="107">
        <f>SUMIF($C$36:$C$57,"Grid Electricity",D36:D57)*3.6+SUMIF($C$36:$C$57,"&lt;&gt;Grid Electricity",D36:D57)</f>
        <v>0</v>
      </c>
      <c r="E58" s="151">
        <f>SUM(E36:E57)</f>
        <v>0</v>
      </c>
      <c r="F58" s="107">
        <f>SUMIF($C$36:$C$57,"Grid Electricity",F36:F57)*3.6+SUMIF($C$36:$C$57,"&lt;&gt;Grid Electricity",F36:F57)</f>
        <v>0</v>
      </c>
      <c r="G58" s="107">
        <f>SUM(G36:G57)</f>
        <v>0</v>
      </c>
      <c r="H58" s="146"/>
      <c r="I58" s="107">
        <f>SUMIF($C$36:$C$57,"Grid Electricity",I36:I57)*3.6+SUMIF($C$36:$C$57,"&lt;&gt;Grid Electricity",I36:I57)</f>
        <v>0</v>
      </c>
      <c r="J58" s="107">
        <f>SUM(J36:J57)</f>
        <v>0</v>
      </c>
      <c r="K58" s="144"/>
    </row>
    <row r="59" spans="2:12" s="1" customFormat="1" x14ac:dyDescent="0.2">
      <c r="B59" s="112"/>
    </row>
    <row r="60" spans="2:12" s="1" customFormat="1" ht="18" customHeight="1" x14ac:dyDescent="0.2">
      <c r="B60" s="57" t="s">
        <v>78</v>
      </c>
      <c r="C60" s="57"/>
      <c r="D60" s="57"/>
      <c r="E60" s="57"/>
      <c r="F60" s="57"/>
      <c r="G60" s="57"/>
      <c r="H60" s="57"/>
      <c r="I60" s="57"/>
      <c r="J60" s="57"/>
      <c r="K60" s="57"/>
      <c r="L60" s="57"/>
    </row>
    <row r="61" spans="2:12" s="1" customFormat="1" ht="18" customHeight="1" x14ac:dyDescent="0.2">
      <c r="B61" s="113" t="s">
        <v>62</v>
      </c>
      <c r="C61" s="100"/>
      <c r="D61" s="118"/>
      <c r="E61" s="118"/>
      <c r="F61" s="118"/>
      <c r="G61" s="118"/>
      <c r="H61" s="118"/>
      <c r="I61" s="118"/>
      <c r="J61" s="100" t="str">
        <f>IFERROR(VLOOKUP(H61,$B$15:$C$25,2,FALSE)*I61,"")</f>
        <v/>
      </c>
      <c r="K61" s="100"/>
      <c r="L61" s="114"/>
    </row>
    <row r="62" spans="2:12" s="1" customFormat="1" ht="18" customHeight="1" x14ac:dyDescent="0.2">
      <c r="B62" s="113" t="s">
        <v>79</v>
      </c>
      <c r="C62" s="100"/>
      <c r="D62" s="118"/>
      <c r="E62" s="118"/>
      <c r="F62" s="118"/>
      <c r="G62" s="118"/>
      <c r="H62" s="118"/>
      <c r="I62" s="118"/>
      <c r="J62" s="100" t="str">
        <f>IFERROR(VLOOKUP(H62,$B$15:$C$25,2,FALSE)*I62,"")</f>
        <v/>
      </c>
      <c r="K62" s="100"/>
      <c r="L62" s="114"/>
    </row>
    <row r="63" spans="2:12" s="1" customFormat="1" ht="18" customHeight="1" x14ac:dyDescent="0.2">
      <c r="B63" s="57" t="s">
        <v>80</v>
      </c>
      <c r="C63" s="57"/>
      <c r="D63" s="57"/>
      <c r="E63" s="57"/>
      <c r="F63" s="57"/>
      <c r="G63" s="57"/>
      <c r="H63" s="57"/>
      <c r="I63" s="57"/>
      <c r="J63" s="57"/>
      <c r="K63" s="57"/>
      <c r="L63" s="57"/>
    </row>
    <row r="64" spans="2:12" s="1" customFormat="1" ht="18" customHeight="1" x14ac:dyDescent="0.2">
      <c r="B64" s="113" t="s">
        <v>81</v>
      </c>
      <c r="C64" s="100"/>
      <c r="D64" s="118"/>
      <c r="E64" s="118"/>
      <c r="F64" s="118"/>
      <c r="G64" s="118"/>
      <c r="H64" s="118"/>
      <c r="I64" s="118"/>
      <c r="J64" s="100" t="str">
        <f>IFERROR(VLOOKUP(H64,$B$15:$C$25,2,FALSE)*I64,"")</f>
        <v/>
      </c>
      <c r="K64" s="100"/>
      <c r="L64" s="114"/>
    </row>
    <row r="65" spans="2:12" s="1" customFormat="1" ht="18" customHeight="1" x14ac:dyDescent="0.2">
      <c r="B65" s="113" t="s">
        <v>82</v>
      </c>
      <c r="C65" s="100"/>
      <c r="D65" s="118"/>
      <c r="E65" s="118"/>
      <c r="F65" s="118"/>
      <c r="G65" s="118"/>
      <c r="H65" s="118"/>
      <c r="I65" s="118"/>
      <c r="J65" s="100" t="str">
        <f>IFERROR(VLOOKUP(H65,$B$15:$C$25,2,FALSE)*I65,"")</f>
        <v/>
      </c>
      <c r="K65" s="100"/>
      <c r="L65" s="114"/>
    </row>
    <row r="66" spans="2:12" s="1" customFormat="1" ht="18" customHeight="1" x14ac:dyDescent="0.2">
      <c r="B66" s="57" t="s">
        <v>86</v>
      </c>
      <c r="C66" s="57"/>
      <c r="D66" s="57"/>
      <c r="E66" s="57"/>
      <c r="F66" s="57"/>
      <c r="G66" s="57"/>
      <c r="H66" s="57"/>
      <c r="I66" s="57"/>
      <c r="J66" s="57"/>
      <c r="K66" s="57"/>
      <c r="L66" s="57"/>
    </row>
    <row r="67" spans="2:12" s="1" customFormat="1" ht="18" customHeight="1" x14ac:dyDescent="0.2">
      <c r="B67" s="113" t="s">
        <v>87</v>
      </c>
      <c r="C67" s="100"/>
      <c r="D67" s="118"/>
      <c r="E67" s="118"/>
      <c r="F67" s="118"/>
      <c r="G67" s="118"/>
      <c r="H67" s="118"/>
      <c r="I67" s="118"/>
      <c r="J67" s="100" t="str">
        <f>IFERROR(VLOOKUP(H67,$B$15:$C$25,2,FALSE)*I67,"")</f>
        <v/>
      </c>
      <c r="K67" s="100"/>
      <c r="L67" s="114"/>
    </row>
    <row r="68" spans="2:12" s="1" customFormat="1" ht="18" customHeight="1" x14ac:dyDescent="0.2">
      <c r="B68" s="112"/>
      <c r="C68" s="163"/>
      <c r="D68" s="163"/>
      <c r="E68" s="163"/>
      <c r="F68" s="163"/>
      <c r="G68" s="163"/>
      <c r="H68" s="163"/>
      <c r="I68" s="163"/>
      <c r="J68" s="163"/>
      <c r="K68" s="163"/>
      <c r="L68" s="115"/>
    </row>
    <row r="69" spans="2:12" s="1" customFormat="1" ht="22.5" customHeight="1" x14ac:dyDescent="0.2">
      <c r="B69" s="248" t="s">
        <v>310</v>
      </c>
      <c r="C69" s="167"/>
      <c r="D69" s="245" t="s">
        <v>83</v>
      </c>
      <c r="E69" s="246"/>
      <c r="F69" s="245" t="s">
        <v>109</v>
      </c>
      <c r="G69" s="246"/>
      <c r="H69" s="167"/>
      <c r="I69" s="245" t="s">
        <v>292</v>
      </c>
      <c r="J69" s="247"/>
      <c r="K69" s="246"/>
      <c r="L69" s="115"/>
    </row>
    <row r="70" spans="2:12" s="1" customFormat="1" ht="25.5" customHeight="1" x14ac:dyDescent="0.2">
      <c r="B70" s="248"/>
      <c r="C70" s="171"/>
      <c r="D70" s="184" t="s">
        <v>317</v>
      </c>
      <c r="E70" s="172" t="s">
        <v>77</v>
      </c>
      <c r="F70" s="184" t="s">
        <v>317</v>
      </c>
      <c r="G70" s="172" t="s">
        <v>77</v>
      </c>
      <c r="H70" s="171"/>
      <c r="I70" s="184" t="s">
        <v>317</v>
      </c>
      <c r="J70" s="171" t="s">
        <v>77</v>
      </c>
      <c r="K70" s="179" t="s">
        <v>315</v>
      </c>
      <c r="L70" s="115"/>
    </row>
    <row r="71" spans="2:12" s="1" customFormat="1" ht="15" customHeight="1" x14ac:dyDescent="0.2">
      <c r="B71" s="170" t="s">
        <v>101</v>
      </c>
      <c r="C71" s="115"/>
      <c r="D71" s="173">
        <f t="shared" ref="D71:G81" si="9">SUMIF($C$36:$C$57,$B71,D$36:D$57)+SUMIF($C$61:$C$67,$B71,D$61:D$67)</f>
        <v>0</v>
      </c>
      <c r="E71" s="174">
        <f t="shared" si="9"/>
        <v>0</v>
      </c>
      <c r="F71" s="173">
        <f t="shared" si="9"/>
        <v>0</v>
      </c>
      <c r="G71" s="174">
        <f t="shared" si="9"/>
        <v>0</v>
      </c>
      <c r="H71" s="164"/>
      <c r="I71" s="173">
        <f t="shared" ref="I71:J81" si="10">SUMIF($H$36:$H$57,$B71,I$36:I$57)+SUMIF($H$61:$H$67,$B71,I$61:I$67)</f>
        <v>0</v>
      </c>
      <c r="J71" s="48">
        <f t="shared" si="10"/>
        <v>0</v>
      </c>
      <c r="K71" s="174">
        <f t="shared" ref="K71:K77" si="11">I71*C15</f>
        <v>0</v>
      </c>
      <c r="L71" s="164"/>
    </row>
    <row r="72" spans="2:12" s="1" customFormat="1" ht="15" customHeight="1" x14ac:dyDescent="0.2">
      <c r="B72" s="109" t="s">
        <v>85</v>
      </c>
      <c r="C72" s="115"/>
      <c r="D72" s="175">
        <f t="shared" si="9"/>
        <v>0</v>
      </c>
      <c r="E72" s="176">
        <f t="shared" si="9"/>
        <v>0</v>
      </c>
      <c r="F72" s="175">
        <f t="shared" si="9"/>
        <v>0</v>
      </c>
      <c r="G72" s="176">
        <f t="shared" si="9"/>
        <v>0</v>
      </c>
      <c r="H72" s="164"/>
      <c r="I72" s="175">
        <f t="shared" si="10"/>
        <v>0</v>
      </c>
      <c r="J72" s="49">
        <f t="shared" si="10"/>
        <v>0</v>
      </c>
      <c r="K72" s="176">
        <f t="shared" si="11"/>
        <v>0</v>
      </c>
      <c r="L72" s="164"/>
    </row>
    <row r="73" spans="2:12" s="1" customFormat="1" ht="15" customHeight="1" x14ac:dyDescent="0.2">
      <c r="B73" s="109" t="s">
        <v>94</v>
      </c>
      <c r="C73" s="115"/>
      <c r="D73" s="175">
        <f t="shared" si="9"/>
        <v>0</v>
      </c>
      <c r="E73" s="176">
        <f t="shared" si="9"/>
        <v>0</v>
      </c>
      <c r="F73" s="175">
        <f t="shared" si="9"/>
        <v>0</v>
      </c>
      <c r="G73" s="176">
        <f t="shared" si="9"/>
        <v>0</v>
      </c>
      <c r="H73" s="164"/>
      <c r="I73" s="175">
        <f t="shared" si="10"/>
        <v>0</v>
      </c>
      <c r="J73" s="49">
        <f t="shared" si="10"/>
        <v>0</v>
      </c>
      <c r="K73" s="176">
        <f t="shared" si="11"/>
        <v>0</v>
      </c>
      <c r="L73" s="164"/>
    </row>
    <row r="74" spans="2:12" s="1" customFormat="1" ht="15" customHeight="1" x14ac:dyDescent="0.2">
      <c r="B74" s="109" t="s">
        <v>95</v>
      </c>
      <c r="C74" s="115"/>
      <c r="D74" s="175">
        <f t="shared" si="9"/>
        <v>0</v>
      </c>
      <c r="E74" s="176">
        <f t="shared" si="9"/>
        <v>0</v>
      </c>
      <c r="F74" s="175">
        <f t="shared" si="9"/>
        <v>0</v>
      </c>
      <c r="G74" s="176">
        <f t="shared" si="9"/>
        <v>0</v>
      </c>
      <c r="H74" s="164"/>
      <c r="I74" s="175">
        <f t="shared" si="10"/>
        <v>0</v>
      </c>
      <c r="J74" s="49">
        <f t="shared" si="10"/>
        <v>0</v>
      </c>
      <c r="K74" s="176">
        <f t="shared" si="11"/>
        <v>0</v>
      </c>
      <c r="L74" s="164"/>
    </row>
    <row r="75" spans="2:12" s="1" customFormat="1" ht="15" customHeight="1" x14ac:dyDescent="0.2">
      <c r="B75" s="109" t="s">
        <v>96</v>
      </c>
      <c r="C75" s="115"/>
      <c r="D75" s="175">
        <f t="shared" si="9"/>
        <v>0</v>
      </c>
      <c r="E75" s="176">
        <f t="shared" si="9"/>
        <v>0</v>
      </c>
      <c r="F75" s="175">
        <f t="shared" si="9"/>
        <v>0</v>
      </c>
      <c r="G75" s="176">
        <f t="shared" si="9"/>
        <v>0</v>
      </c>
      <c r="H75" s="164"/>
      <c r="I75" s="175">
        <f t="shared" si="10"/>
        <v>0</v>
      </c>
      <c r="J75" s="49">
        <f t="shared" si="10"/>
        <v>0</v>
      </c>
      <c r="K75" s="176">
        <f t="shared" si="11"/>
        <v>0</v>
      </c>
      <c r="L75" s="164"/>
    </row>
    <row r="76" spans="2:12" s="1" customFormat="1" ht="15" customHeight="1" x14ac:dyDescent="0.2">
      <c r="B76" s="109" t="s">
        <v>97</v>
      </c>
      <c r="C76" s="115"/>
      <c r="D76" s="175">
        <f t="shared" si="9"/>
        <v>0</v>
      </c>
      <c r="E76" s="176">
        <f t="shared" si="9"/>
        <v>0</v>
      </c>
      <c r="F76" s="175">
        <f t="shared" si="9"/>
        <v>0</v>
      </c>
      <c r="G76" s="176">
        <f t="shared" si="9"/>
        <v>0</v>
      </c>
      <c r="H76" s="164"/>
      <c r="I76" s="175">
        <f t="shared" si="10"/>
        <v>0</v>
      </c>
      <c r="J76" s="49">
        <f t="shared" si="10"/>
        <v>0</v>
      </c>
      <c r="K76" s="176">
        <f t="shared" si="11"/>
        <v>0</v>
      </c>
      <c r="L76" s="164"/>
    </row>
    <row r="77" spans="2:12" s="1" customFormat="1" ht="15" customHeight="1" x14ac:dyDescent="0.2">
      <c r="B77" s="109" t="s">
        <v>98</v>
      </c>
      <c r="C77" s="115"/>
      <c r="D77" s="175">
        <f t="shared" si="9"/>
        <v>0</v>
      </c>
      <c r="E77" s="176">
        <f t="shared" si="9"/>
        <v>0</v>
      </c>
      <c r="F77" s="175">
        <f t="shared" si="9"/>
        <v>0</v>
      </c>
      <c r="G77" s="176">
        <f t="shared" si="9"/>
        <v>0</v>
      </c>
      <c r="H77" s="164"/>
      <c r="I77" s="175">
        <f t="shared" si="10"/>
        <v>0</v>
      </c>
      <c r="J77" s="49">
        <f t="shared" si="10"/>
        <v>0</v>
      </c>
      <c r="K77" s="176">
        <f t="shared" si="11"/>
        <v>0</v>
      </c>
      <c r="L77" s="164"/>
    </row>
    <row r="78" spans="2:12" s="1" customFormat="1" ht="15" customHeight="1" x14ac:dyDescent="0.2">
      <c r="B78" s="109" t="s">
        <v>99</v>
      </c>
      <c r="C78" s="115"/>
      <c r="D78" s="175">
        <f t="shared" si="9"/>
        <v>0</v>
      </c>
      <c r="E78" s="176">
        <f t="shared" si="9"/>
        <v>0</v>
      </c>
      <c r="F78" s="175">
        <f t="shared" si="9"/>
        <v>0</v>
      </c>
      <c r="G78" s="176">
        <f t="shared" si="9"/>
        <v>0</v>
      </c>
      <c r="H78" s="164"/>
      <c r="I78" s="175">
        <f t="shared" si="10"/>
        <v>0</v>
      </c>
      <c r="J78" s="49">
        <f t="shared" si="10"/>
        <v>0</v>
      </c>
      <c r="K78" s="176">
        <f>I78*P30</f>
        <v>0</v>
      </c>
      <c r="L78" s="164"/>
    </row>
    <row r="79" spans="2:12" s="1" customFormat="1" ht="15" customHeight="1" x14ac:dyDescent="0.2">
      <c r="B79" s="109" t="s">
        <v>100</v>
      </c>
      <c r="C79" s="115"/>
      <c r="D79" s="175">
        <f t="shared" si="9"/>
        <v>0</v>
      </c>
      <c r="E79" s="176">
        <f t="shared" si="9"/>
        <v>0</v>
      </c>
      <c r="F79" s="175">
        <f t="shared" si="9"/>
        <v>0</v>
      </c>
      <c r="G79" s="176">
        <f t="shared" si="9"/>
        <v>0</v>
      </c>
      <c r="H79" s="164"/>
      <c r="I79" s="175">
        <f t="shared" si="10"/>
        <v>0</v>
      </c>
      <c r="J79" s="49">
        <f t="shared" si="10"/>
        <v>0</v>
      </c>
      <c r="K79" s="176">
        <f>I79*P31</f>
        <v>0</v>
      </c>
      <c r="L79" s="164"/>
    </row>
    <row r="80" spans="2:12" s="1" customFormat="1" ht="15" customHeight="1" x14ac:dyDescent="0.2">
      <c r="B80" s="109" t="s">
        <v>215</v>
      </c>
      <c r="C80" s="115"/>
      <c r="D80" s="175">
        <f t="shared" si="9"/>
        <v>0</v>
      </c>
      <c r="E80" s="176">
        <f t="shared" si="9"/>
        <v>0</v>
      </c>
      <c r="F80" s="175">
        <f t="shared" si="9"/>
        <v>0</v>
      </c>
      <c r="G80" s="176">
        <f t="shared" si="9"/>
        <v>0</v>
      </c>
      <c r="H80" s="164"/>
      <c r="I80" s="175">
        <f t="shared" si="10"/>
        <v>0</v>
      </c>
      <c r="J80" s="49">
        <f t="shared" si="10"/>
        <v>0</v>
      </c>
      <c r="K80" s="176">
        <f>I80*P32</f>
        <v>0</v>
      </c>
      <c r="L80" s="164"/>
    </row>
    <row r="81" spans="2:17" s="1" customFormat="1" x14ac:dyDescent="0.2">
      <c r="B81" s="168" t="s">
        <v>311</v>
      </c>
      <c r="C81" s="169"/>
      <c r="D81" s="177">
        <f t="shared" si="9"/>
        <v>0</v>
      </c>
      <c r="E81" s="178">
        <f t="shared" si="9"/>
        <v>0</v>
      </c>
      <c r="F81" s="177">
        <f t="shared" si="9"/>
        <v>0</v>
      </c>
      <c r="G81" s="178">
        <f t="shared" si="9"/>
        <v>0</v>
      </c>
      <c r="H81" s="165"/>
      <c r="I81" s="177">
        <f t="shared" si="10"/>
        <v>0</v>
      </c>
      <c r="J81" s="50">
        <f t="shared" si="10"/>
        <v>0</v>
      </c>
      <c r="K81" s="178">
        <f>I81*P33</f>
        <v>0</v>
      </c>
      <c r="L81" s="164"/>
    </row>
    <row r="82" spans="2:17" s="1" customFormat="1" ht="15" customHeight="1" thickBot="1" x14ac:dyDescent="0.25">
      <c r="B82" s="85" t="s">
        <v>52</v>
      </c>
      <c r="C82" s="85"/>
      <c r="D82" s="85"/>
      <c r="E82" s="85"/>
      <c r="F82" s="85"/>
      <c r="G82" s="85"/>
      <c r="H82" s="85"/>
      <c r="I82" s="69">
        <f>SUM(I71:I81)</f>
        <v>0</v>
      </c>
      <c r="J82" s="69">
        <f>SUM(J71:J81)</f>
        <v>0</v>
      </c>
      <c r="K82" s="69">
        <f>SUM(K71:K81)</f>
        <v>0</v>
      </c>
      <c r="L82" s="166"/>
    </row>
    <row r="83" spans="2:17" s="1" customFormat="1" ht="15" customHeight="1" thickTop="1" thickBot="1" x14ac:dyDescent="0.25">
      <c r="B83" s="85" t="s">
        <v>108</v>
      </c>
      <c r="C83" s="85"/>
      <c r="D83" s="85"/>
      <c r="E83" s="85"/>
      <c r="F83" s="85"/>
      <c r="G83" s="85"/>
      <c r="H83" s="85"/>
      <c r="I83" s="69">
        <f>SUM(I61:I62)</f>
        <v>0</v>
      </c>
      <c r="J83" s="69">
        <f>SUM(J61:J62)</f>
        <v>0</v>
      </c>
      <c r="K83" s="69"/>
      <c r="L83" s="166"/>
    </row>
    <row r="84" spans="2:17" s="1" customFormat="1" ht="13.5" thickTop="1" x14ac:dyDescent="0.2">
      <c r="B84" s="15"/>
      <c r="D84" s="6"/>
      <c r="E84" s="6"/>
      <c r="F84" s="6"/>
      <c r="G84" s="6"/>
      <c r="H84" s="6"/>
      <c r="I84" s="6"/>
      <c r="J84" s="6"/>
      <c r="K84" s="6"/>
      <c r="L84" s="115"/>
    </row>
    <row r="85" spans="2:17" s="1" customFormat="1" ht="22.5" customHeight="1" x14ac:dyDescent="0.2">
      <c r="B85" s="159" t="s">
        <v>303</v>
      </c>
      <c r="C85" s="244" t="s">
        <v>304</v>
      </c>
      <c r="D85" s="244"/>
      <c r="E85" s="159"/>
      <c r="F85" s="159"/>
      <c r="G85" s="159"/>
      <c r="H85" s="244" t="s">
        <v>305</v>
      </c>
      <c r="I85" s="244"/>
      <c r="J85" s="159"/>
      <c r="K85" s="160" t="s">
        <v>103</v>
      </c>
      <c r="L85" s="160" t="s">
        <v>209</v>
      </c>
    </row>
    <row r="86" spans="2:17" s="10" customFormat="1" ht="18" customHeight="1" x14ac:dyDescent="0.2">
      <c r="B86" s="110" t="s">
        <v>210</v>
      </c>
      <c r="C86" s="117" t="s">
        <v>101</v>
      </c>
      <c r="D86" s="118"/>
      <c r="H86" s="117" t="s">
        <v>101</v>
      </c>
      <c r="I86" s="118"/>
      <c r="K86" s="161" t="str">
        <f>IFERROR((D86-I86)/D86,"")</f>
        <v/>
      </c>
      <c r="L86" s="162"/>
    </row>
    <row r="87" spans="2:17" s="10" customFormat="1" x14ac:dyDescent="0.2">
      <c r="B87" s="116"/>
    </row>
    <row r="88" spans="2:17" s="10" customFormat="1" x14ac:dyDescent="0.2">
      <c r="B88" s="116"/>
    </row>
    <row r="89" spans="2:17" s="10" customFormat="1" ht="18" customHeight="1" x14ac:dyDescent="0.2">
      <c r="B89" s="57" t="s">
        <v>294</v>
      </c>
      <c r="C89" s="57"/>
      <c r="D89" s="57"/>
    </row>
    <row r="90" spans="2:17" s="1" customFormat="1" ht="18" customHeight="1" x14ac:dyDescent="0.2">
      <c r="B90" s="57" t="s">
        <v>295</v>
      </c>
      <c r="C90" s="57"/>
      <c r="D90" s="57"/>
      <c r="E90" s="6"/>
      <c r="F90" s="6"/>
      <c r="G90" s="6"/>
      <c r="H90" s="6"/>
      <c r="I90" s="6"/>
      <c r="J90" s="6"/>
      <c r="K90" s="6"/>
    </row>
    <row r="91" spans="2:17" s="1" customFormat="1" ht="18" customHeight="1" x14ac:dyDescent="0.2">
      <c r="B91" s="119" t="s">
        <v>221</v>
      </c>
      <c r="C91" s="120">
        <f>D58</f>
        <v>0</v>
      </c>
      <c r="D91" s="119" t="s">
        <v>211</v>
      </c>
      <c r="H91" s="6"/>
      <c r="I91" s="6"/>
      <c r="J91" s="6"/>
      <c r="K91" s="6"/>
      <c r="O91" s="6"/>
      <c r="P91" s="6"/>
      <c r="Q91" s="6"/>
    </row>
    <row r="92" spans="2:17" s="1" customFormat="1" ht="18" customHeight="1" x14ac:dyDescent="0.2">
      <c r="B92" s="119" t="s">
        <v>110</v>
      </c>
      <c r="C92" s="120">
        <f>F58</f>
        <v>0</v>
      </c>
      <c r="D92" s="119" t="s">
        <v>211</v>
      </c>
      <c r="H92" s="6"/>
      <c r="I92" s="6"/>
      <c r="J92" s="6"/>
      <c r="K92" s="10"/>
      <c r="O92" s="6"/>
      <c r="P92" s="6"/>
      <c r="Q92" s="6"/>
    </row>
    <row r="93" spans="2:17" s="1" customFormat="1" ht="18" customHeight="1" x14ac:dyDescent="0.2">
      <c r="B93" s="119" t="s">
        <v>103</v>
      </c>
      <c r="C93" s="139" t="str">
        <f>IFERROR((C91-C92)/C91,"")</f>
        <v/>
      </c>
      <c r="D93" s="6"/>
      <c r="H93" s="6"/>
      <c r="I93" s="6"/>
      <c r="J93" s="6"/>
      <c r="K93" s="6"/>
      <c r="O93" s="6"/>
      <c r="P93" s="6"/>
      <c r="Q93" s="6"/>
    </row>
    <row r="94" spans="2:17" s="1" customFormat="1" ht="18" customHeight="1" x14ac:dyDescent="0.2">
      <c r="B94" s="155" t="s">
        <v>301</v>
      </c>
      <c r="C94" s="156" t="str">
        <f>IFERROR(MIN(C93/Q94*O94,O94),"")</f>
        <v/>
      </c>
      <c r="O94" s="1">
        <f>$C$110*P94</f>
        <v>4</v>
      </c>
      <c r="P94" s="58">
        <v>0.2</v>
      </c>
      <c r="Q94" s="58">
        <v>0.25</v>
      </c>
    </row>
    <row r="95" spans="2:17" s="1" customFormat="1" ht="18" customHeight="1" x14ac:dyDescent="0.2">
      <c r="B95" s="11"/>
      <c r="C95" s="108"/>
    </row>
    <row r="96" spans="2:17" s="1" customFormat="1" ht="18" customHeight="1" x14ac:dyDescent="0.2">
      <c r="B96" s="57" t="s">
        <v>296</v>
      </c>
      <c r="C96" s="57"/>
      <c r="D96" s="57"/>
    </row>
    <row r="97" spans="2:17" s="1" customFormat="1" ht="18" customHeight="1" x14ac:dyDescent="0.2">
      <c r="B97" s="119" t="s">
        <v>104</v>
      </c>
      <c r="C97" s="120">
        <f>0.9*E58</f>
        <v>0</v>
      </c>
      <c r="D97" s="119" t="s">
        <v>105</v>
      </c>
    </row>
    <row r="98" spans="2:17" s="1" customFormat="1" ht="29.25" customHeight="1" x14ac:dyDescent="0.2">
      <c r="B98" s="119" t="s">
        <v>308</v>
      </c>
      <c r="C98" s="120">
        <f>K82</f>
        <v>0</v>
      </c>
      <c r="D98" s="119" t="s">
        <v>105</v>
      </c>
    </row>
    <row r="99" spans="2:17" s="1" customFormat="1" ht="18" customHeight="1" x14ac:dyDescent="0.2">
      <c r="B99" s="119" t="s">
        <v>309</v>
      </c>
      <c r="C99" s="120">
        <f>J82</f>
        <v>0</v>
      </c>
      <c r="D99" s="119" t="s">
        <v>105</v>
      </c>
    </row>
    <row r="100" spans="2:17" s="1" customFormat="1" ht="18" customHeight="1" x14ac:dyDescent="0.2">
      <c r="B100" s="11"/>
      <c r="C100" s="108"/>
    </row>
    <row r="101" spans="2:17" s="1" customFormat="1" ht="18" customHeight="1" x14ac:dyDescent="0.2">
      <c r="B101" s="119" t="s">
        <v>244</v>
      </c>
      <c r="C101" s="120" t="str">
        <f>IF(C99&lt;=C97,"PASS","FAIL")</f>
        <v>PASS</v>
      </c>
    </row>
    <row r="102" spans="2:17" s="1" customFormat="1" ht="18" customHeight="1" x14ac:dyDescent="0.2">
      <c r="B102" s="119" t="s">
        <v>103</v>
      </c>
      <c r="C102" s="139" t="str">
        <f>IFERROR((C97-C99)/C97,"")</f>
        <v/>
      </c>
      <c r="D102" s="6"/>
    </row>
    <row r="103" spans="2:17" s="1" customFormat="1" ht="18" customHeight="1" x14ac:dyDescent="0.2">
      <c r="B103" s="119" t="s">
        <v>240</v>
      </c>
      <c r="C103" s="140" t="str">
        <f>IFERROR(MIN((C97-C98)/C97/Q104,Q104)*O104,"")</f>
        <v/>
      </c>
      <c r="D103" s="6"/>
    </row>
    <row r="104" spans="2:17" s="1" customFormat="1" ht="18" customHeight="1" x14ac:dyDescent="0.2">
      <c r="B104" s="155" t="s">
        <v>302</v>
      </c>
      <c r="C104" s="157" t="str">
        <f>IFERROR(MIN(MIN(C102/Q104*O104,2*C103),O104),"")</f>
        <v/>
      </c>
      <c r="O104" s="1">
        <f>$C$110*P104</f>
        <v>16</v>
      </c>
      <c r="P104" s="58">
        <f>1-P94</f>
        <v>0.8</v>
      </c>
      <c r="Q104" s="58">
        <v>1</v>
      </c>
    </row>
    <row r="105" spans="2:17" s="1" customFormat="1" ht="18" customHeight="1" x14ac:dyDescent="0.2">
      <c r="B105" s="11"/>
      <c r="C105" s="108"/>
    </row>
    <row r="106" spans="2:17" s="1" customFormat="1" ht="34.5" customHeight="1" x14ac:dyDescent="0.2">
      <c r="B106" s="119" t="s">
        <v>300</v>
      </c>
      <c r="C106" s="120" t="str">
        <f>IFERROR((-1*J83)/J58,"")</f>
        <v/>
      </c>
    </row>
    <row r="107" spans="2:17" s="1" customFormat="1" ht="18" customHeight="1" x14ac:dyDescent="0.2">
      <c r="B107" s="119" t="s">
        <v>243</v>
      </c>
      <c r="C107" s="120" t="str">
        <f>IFERROR(MIN(C106/Q107,1)*O107,"")</f>
        <v/>
      </c>
      <c r="O107" s="1">
        <v>2</v>
      </c>
      <c r="P107" s="58">
        <v>0.1</v>
      </c>
      <c r="Q107" s="58">
        <v>0.2</v>
      </c>
    </row>
    <row r="108" spans="2:17" s="1" customFormat="1" ht="18" customHeight="1" x14ac:dyDescent="0.2">
      <c r="B108" s="11"/>
      <c r="C108" s="103"/>
      <c r="P108" s="58"/>
      <c r="Q108" s="58"/>
    </row>
    <row r="109" spans="2:17" s="1" customFormat="1" ht="18" customHeight="1" x14ac:dyDescent="0.2">
      <c r="B109" s="143" t="s">
        <v>297</v>
      </c>
      <c r="C109" s="141">
        <f>IF(C101="FAIL",0,MIN(SUM(C94,C104,C107),C110))</f>
        <v>0</v>
      </c>
    </row>
    <row r="110" spans="2:17" s="1" customFormat="1" ht="18" customHeight="1" x14ac:dyDescent="0.2">
      <c r="B110" s="143" t="s">
        <v>298</v>
      </c>
      <c r="C110" s="141">
        <v>20</v>
      </c>
    </row>
    <row r="111" spans="2:17" s="1" customFormat="1" ht="18" customHeight="1" x14ac:dyDescent="0.2">
      <c r="B111" s="121"/>
      <c r="C111" s="82"/>
    </row>
    <row r="112" spans="2:17" s="1" customFormat="1" x14ac:dyDescent="0.2">
      <c r="B112" s="15"/>
      <c r="C112" s="104"/>
    </row>
    <row r="113" spans="2:17" s="41" customFormat="1" ht="26.25" x14ac:dyDescent="0.2">
      <c r="B113" s="53" t="s">
        <v>369</v>
      </c>
      <c r="C113" s="53"/>
      <c r="D113" s="53"/>
    </row>
    <row r="114" spans="2:17" s="35" customFormat="1" ht="18" customHeight="1" x14ac:dyDescent="0.25">
      <c r="B114" s="52" t="s">
        <v>299</v>
      </c>
      <c r="C114" s="52"/>
      <c r="D114" s="36"/>
      <c r="E114" s="36"/>
      <c r="F114" s="41"/>
    </row>
    <row r="115" spans="2:17" s="1" customFormat="1" ht="18" customHeight="1" x14ac:dyDescent="0.2">
      <c r="B115" s="15"/>
      <c r="P115" s="1" t="s">
        <v>131</v>
      </c>
      <c r="Q115" s="1" t="s">
        <v>130</v>
      </c>
    </row>
    <row r="116" spans="2:17" s="1" customFormat="1" ht="18" customHeight="1" x14ac:dyDescent="0.2">
      <c r="B116" s="119" t="s">
        <v>306</v>
      </c>
      <c r="C116" s="139" t="str">
        <f>K86</f>
        <v/>
      </c>
      <c r="O116" s="105">
        <f>C119</f>
        <v>2</v>
      </c>
      <c r="P116" s="58">
        <v>0.1</v>
      </c>
      <c r="Q116" s="58">
        <v>0.3</v>
      </c>
    </row>
    <row r="117" spans="2:17" s="1" customFormat="1" ht="18" customHeight="1" x14ac:dyDescent="0.2">
      <c r="B117" s="11"/>
      <c r="C117" s="1" t="str">
        <f>IFERROR(IF(K87&lt;#REF!,0,MIN(F118*K87+G118,O117)),"")</f>
        <v/>
      </c>
      <c r="O117" s="105"/>
      <c r="P117" s="9">
        <f>C119/(Q116-P116)</f>
        <v>10</v>
      </c>
      <c r="Q117" s="9">
        <f>-1*P116*P117</f>
        <v>-1</v>
      </c>
    </row>
    <row r="118" spans="2:17" s="1" customFormat="1" ht="18" customHeight="1" x14ac:dyDescent="0.2">
      <c r="B118" s="142" t="s">
        <v>297</v>
      </c>
      <c r="C118" s="141">
        <f>IFERROR(IF(C116&lt;P116,0,MIN(P117*C116+Q117,O116)),0)</f>
        <v>0</v>
      </c>
    </row>
    <row r="119" spans="2:17" s="1" customFormat="1" ht="18" customHeight="1" x14ac:dyDescent="0.2">
      <c r="B119" s="142" t="s">
        <v>298</v>
      </c>
      <c r="C119" s="141">
        <v>2</v>
      </c>
    </row>
  </sheetData>
  <sheetProtection password="E6B1" sheet="1" objects="1" scenarios="1"/>
  <mergeCells count="11">
    <mergeCell ref="B69:B70"/>
    <mergeCell ref="H33:J33"/>
    <mergeCell ref="C33:E33"/>
    <mergeCell ref="L33:L34"/>
    <mergeCell ref="F33:G33"/>
    <mergeCell ref="K33:K34"/>
    <mergeCell ref="C85:D85"/>
    <mergeCell ref="H85:I85"/>
    <mergeCell ref="D69:E69"/>
    <mergeCell ref="F69:G69"/>
    <mergeCell ref="I69:K69"/>
  </mergeCells>
  <dataValidations count="12">
    <dataValidation type="decimal" allowBlank="1" showInputMessage="1" showErrorMessage="1" promptTitle="Utility Electricity" prompt="Enter the GHG intensity for electricity delivered from a shared utility service" sqref="C31">
      <formula1>0</formula1>
      <formula2>2</formula2>
    </dataValidation>
    <dataValidation type="decimal" allowBlank="1" showInputMessage="1" showErrorMessage="1" promptTitle="Utility HHW Thermal Energy" prompt="Enter the GHG intensity for HHW delivered from a shared utility service" sqref="C29">
      <formula1>0</formula1>
      <formula2>0.5</formula2>
    </dataValidation>
    <dataValidation type="decimal" allowBlank="1" showInputMessage="1" showErrorMessage="1" promptTitle="Utility CHW Thermal Energy" prompt="Enter the GHG intensity for CHW delivered from a shared utility service" sqref="C28">
      <formula1>0</formula1>
      <formula2>0.5</formula2>
    </dataValidation>
    <dataValidation type="decimal" allowBlank="1" showInputMessage="1" showErrorMessage="1" promptTitle="Utility DHW Thermal Energy" prompt="Enter the GHG intensity for HHW delivered from a shared utility service" sqref="C30">
      <formula1>0</formula1>
      <formula2>0.5</formula2>
    </dataValidation>
    <dataValidation type="list" allowBlank="1" showInputMessage="1" showErrorMessage="1" sqref="F28:F31">
      <formula1>ContractTerm</formula1>
    </dataValidation>
    <dataValidation type="list" allowBlank="1" showInputMessage="1" showErrorMessage="1" sqref="H61:H62 H67:H70 H64:H65 H36:H43 H45:H57 C36:C43 C45:C57">
      <formula1>Fuels</formula1>
    </dataValidation>
    <dataValidation type="decimal" allowBlank="1" showInputMessage="1" showErrorMessage="1" sqref="I61:I62 I65 I67:I68">
      <formula1>-1000000000</formula1>
      <formula2>0</formula2>
    </dataValidation>
    <dataValidation type="decimal" allowBlank="1" showInputMessage="1" showErrorMessage="1" sqref="I64">
      <formula1>0</formula1>
      <formula2>1000000000</formula2>
    </dataValidation>
    <dataValidation type="list" allowBlank="1" showInputMessage="1" showErrorMessage="1" sqref="C12">
      <formula1>Option</formula1>
    </dataValidation>
    <dataValidation type="list" allowBlank="1" showInputMessage="1" showErrorMessage="1" sqref="C11">
      <formula1>GeoLocation</formula1>
    </dataValidation>
    <dataValidation type="textLength" operator="lessThanOrEqual" allowBlank="1" showInputMessage="1" showErrorMessage="1" sqref="L36:L43 L45:L57">
      <formula1>350</formula1>
    </dataValidation>
    <dataValidation type="list" allowBlank="1" showInputMessage="1" showErrorMessage="1" sqref="H28:H30">
      <formula1>BldgCapacity</formula1>
    </dataValidation>
  </dataValidations>
  <pageMargins left="0.7" right="0.7" top="0.75" bottom="0.75" header="0.3" footer="0.3"/>
  <pageSetup paperSize="254" orientation="portrait" r:id="rId1"/>
  <ignoredErrors>
    <ignoredError sqref="E58" 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2.75" x14ac:dyDescent="0.2"/>
  <cols>
    <col min="1" max="1" width="3.140625" customWidth="1"/>
    <col min="2" max="2" width="28.42578125" customWidth="1"/>
    <col min="3" max="3" width="13.42578125" customWidth="1"/>
    <col min="4" max="9" width="13.85546875" customWidth="1"/>
  </cols>
  <sheetData>
    <row r="1" spans="1:13" s="25" customFormat="1" ht="14.25" x14ac:dyDescent="0.2">
      <c r="D1" s="26"/>
    </row>
    <row r="2" spans="1:13" s="25" customFormat="1" ht="103.5" customHeight="1" x14ac:dyDescent="0.35">
      <c r="B2" s="27"/>
      <c r="D2" s="26"/>
    </row>
    <row r="3" spans="1:13" s="25" customFormat="1" ht="72.75" customHeight="1" x14ac:dyDescent="0.35">
      <c r="B3" s="27"/>
      <c r="D3" s="26"/>
    </row>
    <row r="4" spans="1:13" s="25" customFormat="1" ht="9.75" customHeight="1" x14ac:dyDescent="0.35">
      <c r="B4" s="27"/>
      <c r="D4" s="26"/>
    </row>
    <row r="5" spans="1:13" s="25" customFormat="1" ht="14.25" x14ac:dyDescent="0.2">
      <c r="B5" s="28" t="s">
        <v>260</v>
      </c>
      <c r="C5" s="29" t="s">
        <v>261</v>
      </c>
      <c r="D5" s="26"/>
    </row>
    <row r="7" spans="1:13" ht="26.25" x14ac:dyDescent="0.2">
      <c r="B7" s="53" t="s">
        <v>252</v>
      </c>
    </row>
    <row r="9" spans="1:13" ht="18" customHeight="1" x14ac:dyDescent="0.2">
      <c r="A9" s="57">
        <v>1</v>
      </c>
      <c r="B9" s="57" t="s">
        <v>250</v>
      </c>
      <c r="C9" s="57"/>
      <c r="D9" s="57"/>
      <c r="E9" s="57"/>
      <c r="F9" s="57"/>
      <c r="G9" s="57"/>
      <c r="H9" s="57"/>
      <c r="I9" s="57"/>
      <c r="J9" s="57"/>
      <c r="K9" s="57"/>
      <c r="L9" s="57"/>
      <c r="M9" s="57"/>
    </row>
    <row r="10" spans="1:13" ht="18" customHeight="1" x14ac:dyDescent="0.2">
      <c r="A10" s="57">
        <v>2</v>
      </c>
      <c r="B10" s="57" t="s">
        <v>251</v>
      </c>
      <c r="C10" s="57"/>
      <c r="D10" s="57"/>
      <c r="E10" s="57"/>
      <c r="F10" s="57"/>
      <c r="G10" s="57"/>
      <c r="H10" s="57"/>
      <c r="I10" s="57"/>
      <c r="J10" s="57"/>
      <c r="K10" s="57"/>
      <c r="L10" s="57"/>
      <c r="M10" s="57"/>
    </row>
    <row r="12" spans="1:13" x14ac:dyDescent="0.2">
      <c r="C12" s="255" t="s">
        <v>214</v>
      </c>
      <c r="D12" s="252" t="s">
        <v>212</v>
      </c>
      <c r="E12" s="253"/>
      <c r="F12" s="254"/>
      <c r="G12" s="252" t="s">
        <v>213</v>
      </c>
      <c r="H12" s="253"/>
      <c r="I12" s="254"/>
    </row>
    <row r="13" spans="1:13" ht="25.5" x14ac:dyDescent="0.2">
      <c r="C13" s="256"/>
      <c r="D13" s="2" t="s">
        <v>50</v>
      </c>
      <c r="E13" s="2" t="s">
        <v>51</v>
      </c>
      <c r="F13" s="2" t="s">
        <v>53</v>
      </c>
      <c r="G13" s="3" t="s">
        <v>50</v>
      </c>
      <c r="H13" s="3" t="s">
        <v>51</v>
      </c>
      <c r="I13" s="3" t="s">
        <v>53</v>
      </c>
    </row>
    <row r="14" spans="1:13" ht="18" customHeight="1" x14ac:dyDescent="0.2">
      <c r="B14" s="6" t="s">
        <v>346</v>
      </c>
      <c r="C14" s="56">
        <v>1</v>
      </c>
      <c r="D14" s="49">
        <f>'15A Prescriptive Path'!D44</f>
        <v>5</v>
      </c>
      <c r="E14" s="122">
        <f>'15A Prescriptive Path'!D43</f>
        <v>0</v>
      </c>
      <c r="F14" s="122">
        <f>IFERROR((C14/$C$19*D14)*(E14/D14),"ERROR")</f>
        <v>0</v>
      </c>
      <c r="G14" s="49">
        <f>'15A Prescriptive Path'!D56</f>
        <v>1</v>
      </c>
      <c r="H14" s="49">
        <f>'15A Prescriptive Path'!D55</f>
        <v>0</v>
      </c>
      <c r="I14" s="49">
        <f t="shared" ref="I14:I18" si="0">IFERROR((C14/$C$19*G14)*(H14/G14),"ERROR")</f>
        <v>0</v>
      </c>
    </row>
    <row r="15" spans="1:13" ht="18" customHeight="1" x14ac:dyDescent="0.2">
      <c r="B15" s="6" t="s">
        <v>347</v>
      </c>
      <c r="C15" s="56">
        <v>1</v>
      </c>
      <c r="D15" s="49">
        <f>'15B NatHERS Path'!D73</f>
        <v>12</v>
      </c>
      <c r="E15" s="122">
        <f>'15B NatHERS Path'!D72</f>
        <v>0</v>
      </c>
      <c r="F15" s="122">
        <f t="shared" ref="F15:F18" si="1">IFERROR((C15/$C$19*D15)*(E15/D15),"ERROR")</f>
        <v>0</v>
      </c>
      <c r="G15" s="49">
        <f>'15B NatHERS Path'!D85</f>
        <v>1</v>
      </c>
      <c r="H15" s="49">
        <f>'15B NatHERS Path'!D84</f>
        <v>0</v>
      </c>
      <c r="I15" s="49">
        <f>IFERROR((C15/$C$19*G15)*(H15/G15),"ERROR")</f>
        <v>0</v>
      </c>
    </row>
    <row r="16" spans="1:13" ht="18" customHeight="1" x14ac:dyDescent="0.2">
      <c r="B16" s="6" t="s">
        <v>348</v>
      </c>
      <c r="C16" s="56">
        <v>1</v>
      </c>
      <c r="D16" s="49">
        <f>'15C BASIX Path'!D27</f>
        <v>16</v>
      </c>
      <c r="E16" s="122">
        <f>'15C BASIX Path'!D26</f>
        <v>0</v>
      </c>
      <c r="F16" s="122">
        <f>IFERROR((C16/$C$19*D16)*(E16/D16),"ERROR")</f>
        <v>0</v>
      </c>
      <c r="G16" s="49">
        <f>'15C BASIX Path'!D39</f>
        <v>1</v>
      </c>
      <c r="H16" s="49">
        <f>'15C BASIX Path'!D38</f>
        <v>0</v>
      </c>
      <c r="I16" s="49">
        <f>IFERROR((C16/$C$19*G16)*(H16/G16),"ERROR")</f>
        <v>0</v>
      </c>
    </row>
    <row r="17" spans="2:9" ht="18" customHeight="1" x14ac:dyDescent="0.2">
      <c r="B17" s="6" t="s">
        <v>349</v>
      </c>
      <c r="C17" s="56">
        <v>1</v>
      </c>
      <c r="D17" s="49">
        <f>'15D NABERS Energy Path'!D33</f>
        <v>16</v>
      </c>
      <c r="E17" s="122">
        <f>'15D NABERS Energy Path'!D31</f>
        <v>0</v>
      </c>
      <c r="F17" s="122">
        <f t="shared" si="1"/>
        <v>0</v>
      </c>
      <c r="G17" s="49">
        <f>'15D NABERS Energy Path'!D46</f>
        <v>1</v>
      </c>
      <c r="H17" s="49">
        <f>'15D NABERS Energy Path'!D45</f>
        <v>0</v>
      </c>
      <c r="I17" s="49">
        <f>IFERROR((C17/$C$19*0),"ERROR")</f>
        <v>0</v>
      </c>
    </row>
    <row r="18" spans="2:9" ht="18" customHeight="1" x14ac:dyDescent="0.2">
      <c r="B18" s="6" t="s">
        <v>350</v>
      </c>
      <c r="C18" s="56">
        <v>1</v>
      </c>
      <c r="D18" s="49">
        <f>'15E Modelled Path'!C110</f>
        <v>20</v>
      </c>
      <c r="E18" s="122">
        <f>'15E Modelled Path'!C109</f>
        <v>0</v>
      </c>
      <c r="F18" s="122">
        <f t="shared" si="1"/>
        <v>0</v>
      </c>
      <c r="G18" s="49">
        <f>'15E Modelled Path'!C119</f>
        <v>2</v>
      </c>
      <c r="H18" s="49">
        <f>'15E Modelled Path'!C118</f>
        <v>0</v>
      </c>
      <c r="I18" s="49">
        <f t="shared" si="0"/>
        <v>0</v>
      </c>
    </row>
    <row r="19" spans="2:9" ht="18" customHeight="1" thickBot="1" x14ac:dyDescent="0.25">
      <c r="B19" s="85" t="s">
        <v>52</v>
      </c>
      <c r="C19" s="69">
        <f>SUM(C14:C18)</f>
        <v>5</v>
      </c>
      <c r="D19" s="69"/>
      <c r="E19" s="69"/>
      <c r="F19" s="123">
        <f>SUM(F14:F18)</f>
        <v>0</v>
      </c>
      <c r="G19" s="69"/>
      <c r="H19" s="69"/>
      <c r="I19" s="69">
        <f>SUM(I14:I18)</f>
        <v>0</v>
      </c>
    </row>
    <row r="20" spans="2:9" ht="13.5" thickTop="1" x14ac:dyDescent="0.2"/>
  </sheetData>
  <sheetProtection password="E6B1" sheet="1" objects="1" scenarios="1"/>
  <mergeCells count="3">
    <mergeCell ref="D12:F12"/>
    <mergeCell ref="G12:I12"/>
    <mergeCell ref="C12:C13"/>
  </mergeCells>
  <pageMargins left="0.7" right="0.7" top="0.75" bottom="0.75" header="0.3" footer="0.3"/>
  <pageSetup paperSize="2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3"/>
  <sheetViews>
    <sheetView workbookViewId="0">
      <selection activeCell="B4" sqref="B4"/>
    </sheetView>
  </sheetViews>
  <sheetFormatPr defaultRowHeight="12.75" x14ac:dyDescent="0.2"/>
  <cols>
    <col min="1" max="1" width="1.42578125" customWidth="1"/>
    <col min="2" max="2" width="26.42578125" customWidth="1"/>
    <col min="3" max="3" width="55.85546875" bestFit="1" customWidth="1"/>
    <col min="4" max="4" width="12.7109375" bestFit="1" customWidth="1"/>
    <col min="5" max="5" width="17.5703125" bestFit="1" customWidth="1"/>
    <col min="6" max="6" width="18.7109375" bestFit="1" customWidth="1"/>
  </cols>
  <sheetData>
    <row r="1" spans="2:6" ht="7.5" customHeight="1" x14ac:dyDescent="0.2"/>
    <row r="2" spans="2:6" x14ac:dyDescent="0.2">
      <c r="B2" s="257" t="s">
        <v>135</v>
      </c>
      <c r="C2" s="257" t="s">
        <v>136</v>
      </c>
      <c r="D2" s="8" t="s">
        <v>145</v>
      </c>
      <c r="E2" s="8" t="s">
        <v>137</v>
      </c>
      <c r="F2" s="8" t="s">
        <v>138</v>
      </c>
    </row>
    <row r="3" spans="2:6" ht="14.25" x14ac:dyDescent="0.25">
      <c r="B3" s="258"/>
      <c r="C3" s="258"/>
      <c r="D3" s="12" t="s">
        <v>48</v>
      </c>
      <c r="E3" s="12" t="s">
        <v>146</v>
      </c>
      <c r="F3" s="12" t="s">
        <v>147</v>
      </c>
    </row>
    <row r="4" spans="2:6" x14ac:dyDescent="0.2">
      <c r="B4" s="13"/>
      <c r="C4" s="7"/>
      <c r="D4" s="7"/>
      <c r="E4" s="4">
        <f t="shared" ref="E4:E35" si="0">IFERROR(VLOOKUP(C4,SynthGHGRate,2,FALSE),0)</f>
        <v>0</v>
      </c>
      <c r="F4" s="4">
        <f>IFERROR(E4*D4,0)</f>
        <v>0</v>
      </c>
    </row>
    <row r="5" spans="2:6" x14ac:dyDescent="0.2">
      <c r="B5" s="13"/>
      <c r="C5" s="7"/>
      <c r="D5" s="7"/>
      <c r="E5" s="4">
        <f t="shared" si="0"/>
        <v>0</v>
      </c>
      <c r="F5" s="4">
        <f t="shared" ref="F5:F52" si="1">IFERROR(E5*D5,0)</f>
        <v>0</v>
      </c>
    </row>
    <row r="6" spans="2:6" x14ac:dyDescent="0.2">
      <c r="B6" s="13"/>
      <c r="C6" s="7"/>
      <c r="D6" s="7"/>
      <c r="E6" s="4">
        <f t="shared" si="0"/>
        <v>0</v>
      </c>
      <c r="F6" s="4">
        <f t="shared" si="1"/>
        <v>0</v>
      </c>
    </row>
    <row r="7" spans="2:6" x14ac:dyDescent="0.2">
      <c r="B7" s="13"/>
      <c r="C7" s="7"/>
      <c r="D7" s="7"/>
      <c r="E7" s="4">
        <f t="shared" si="0"/>
        <v>0</v>
      </c>
      <c r="F7" s="4">
        <f t="shared" si="1"/>
        <v>0</v>
      </c>
    </row>
    <row r="8" spans="2:6" x14ac:dyDescent="0.2">
      <c r="B8" s="13"/>
      <c r="C8" s="7"/>
      <c r="D8" s="7"/>
      <c r="E8" s="4">
        <f t="shared" si="0"/>
        <v>0</v>
      </c>
      <c r="F8" s="4">
        <f t="shared" si="1"/>
        <v>0</v>
      </c>
    </row>
    <row r="9" spans="2:6" x14ac:dyDescent="0.2">
      <c r="B9" s="13"/>
      <c r="C9" s="7"/>
      <c r="D9" s="7"/>
      <c r="E9" s="4">
        <f t="shared" si="0"/>
        <v>0</v>
      </c>
      <c r="F9" s="4">
        <f t="shared" si="1"/>
        <v>0</v>
      </c>
    </row>
    <row r="10" spans="2:6" x14ac:dyDescent="0.2">
      <c r="B10" s="13"/>
      <c r="C10" s="7"/>
      <c r="D10" s="7"/>
      <c r="E10" s="4">
        <f t="shared" si="0"/>
        <v>0</v>
      </c>
      <c r="F10" s="4">
        <f t="shared" si="1"/>
        <v>0</v>
      </c>
    </row>
    <row r="11" spans="2:6" x14ac:dyDescent="0.2">
      <c r="B11" s="13"/>
      <c r="C11" s="7"/>
      <c r="D11" s="7"/>
      <c r="E11" s="4">
        <f t="shared" si="0"/>
        <v>0</v>
      </c>
      <c r="F11" s="4">
        <f t="shared" si="1"/>
        <v>0</v>
      </c>
    </row>
    <row r="12" spans="2:6" x14ac:dyDescent="0.2">
      <c r="B12" s="13"/>
      <c r="C12" s="7"/>
      <c r="D12" s="7"/>
      <c r="E12" s="4">
        <f t="shared" si="0"/>
        <v>0</v>
      </c>
      <c r="F12" s="4">
        <f t="shared" si="1"/>
        <v>0</v>
      </c>
    </row>
    <row r="13" spans="2:6" x14ac:dyDescent="0.2">
      <c r="B13" s="13"/>
      <c r="C13" s="7"/>
      <c r="D13" s="7"/>
      <c r="E13" s="4">
        <f t="shared" si="0"/>
        <v>0</v>
      </c>
      <c r="F13" s="4">
        <f t="shared" si="1"/>
        <v>0</v>
      </c>
    </row>
    <row r="14" spans="2:6" x14ac:dyDescent="0.2">
      <c r="B14" s="13"/>
      <c r="C14" s="7"/>
      <c r="D14" s="7"/>
      <c r="E14" s="4">
        <f t="shared" si="0"/>
        <v>0</v>
      </c>
      <c r="F14" s="4">
        <f t="shared" si="1"/>
        <v>0</v>
      </c>
    </row>
    <row r="15" spans="2:6" x14ac:dyDescent="0.2">
      <c r="B15" s="13"/>
      <c r="C15" s="7"/>
      <c r="D15" s="7"/>
      <c r="E15" s="4">
        <f t="shared" si="0"/>
        <v>0</v>
      </c>
      <c r="F15" s="4">
        <f t="shared" si="1"/>
        <v>0</v>
      </c>
    </row>
    <row r="16" spans="2:6" x14ac:dyDescent="0.2">
      <c r="B16" s="13"/>
      <c r="C16" s="7"/>
      <c r="D16" s="7"/>
      <c r="E16" s="4">
        <f t="shared" si="0"/>
        <v>0</v>
      </c>
      <c r="F16" s="4">
        <f t="shared" si="1"/>
        <v>0</v>
      </c>
    </row>
    <row r="17" spans="2:6" x14ac:dyDescent="0.2">
      <c r="B17" s="13"/>
      <c r="C17" s="7"/>
      <c r="D17" s="7"/>
      <c r="E17" s="4">
        <f t="shared" si="0"/>
        <v>0</v>
      </c>
      <c r="F17" s="4">
        <f t="shared" si="1"/>
        <v>0</v>
      </c>
    </row>
    <row r="18" spans="2:6" x14ac:dyDescent="0.2">
      <c r="B18" s="13"/>
      <c r="C18" s="7"/>
      <c r="D18" s="7"/>
      <c r="E18" s="4">
        <f t="shared" si="0"/>
        <v>0</v>
      </c>
      <c r="F18" s="4">
        <f t="shared" si="1"/>
        <v>0</v>
      </c>
    </row>
    <row r="19" spans="2:6" x14ac:dyDescent="0.2">
      <c r="B19" s="13"/>
      <c r="C19" s="7"/>
      <c r="D19" s="7"/>
      <c r="E19" s="4">
        <f t="shared" si="0"/>
        <v>0</v>
      </c>
      <c r="F19" s="4">
        <f t="shared" si="1"/>
        <v>0</v>
      </c>
    </row>
    <row r="20" spans="2:6" x14ac:dyDescent="0.2">
      <c r="B20" s="13"/>
      <c r="C20" s="7"/>
      <c r="D20" s="7"/>
      <c r="E20" s="4">
        <f t="shared" si="0"/>
        <v>0</v>
      </c>
      <c r="F20" s="4">
        <f t="shared" si="1"/>
        <v>0</v>
      </c>
    </row>
    <row r="21" spans="2:6" x14ac:dyDescent="0.2">
      <c r="B21" s="13"/>
      <c r="C21" s="7"/>
      <c r="D21" s="7"/>
      <c r="E21" s="4">
        <f t="shared" si="0"/>
        <v>0</v>
      </c>
      <c r="F21" s="4">
        <f t="shared" si="1"/>
        <v>0</v>
      </c>
    </row>
    <row r="22" spans="2:6" x14ac:dyDescent="0.2">
      <c r="B22" s="13"/>
      <c r="C22" s="7"/>
      <c r="D22" s="7"/>
      <c r="E22" s="4">
        <f t="shared" si="0"/>
        <v>0</v>
      </c>
      <c r="F22" s="4">
        <f t="shared" si="1"/>
        <v>0</v>
      </c>
    </row>
    <row r="23" spans="2:6" x14ac:dyDescent="0.2">
      <c r="B23" s="13"/>
      <c r="C23" s="7"/>
      <c r="D23" s="7"/>
      <c r="E23" s="4">
        <f t="shared" si="0"/>
        <v>0</v>
      </c>
      <c r="F23" s="4">
        <f t="shared" si="1"/>
        <v>0</v>
      </c>
    </row>
    <row r="24" spans="2:6" x14ac:dyDescent="0.2">
      <c r="B24" s="13"/>
      <c r="C24" s="7"/>
      <c r="D24" s="7"/>
      <c r="E24" s="4">
        <f t="shared" si="0"/>
        <v>0</v>
      </c>
      <c r="F24" s="4">
        <f t="shared" si="1"/>
        <v>0</v>
      </c>
    </row>
    <row r="25" spans="2:6" x14ac:dyDescent="0.2">
      <c r="B25" s="13"/>
      <c r="C25" s="7"/>
      <c r="D25" s="7"/>
      <c r="E25" s="4">
        <f t="shared" si="0"/>
        <v>0</v>
      </c>
      <c r="F25" s="4">
        <f t="shared" si="1"/>
        <v>0</v>
      </c>
    </row>
    <row r="26" spans="2:6" x14ac:dyDescent="0.2">
      <c r="B26" s="13"/>
      <c r="C26" s="7"/>
      <c r="D26" s="7"/>
      <c r="E26" s="4">
        <f t="shared" si="0"/>
        <v>0</v>
      </c>
      <c r="F26" s="4">
        <f t="shared" si="1"/>
        <v>0</v>
      </c>
    </row>
    <row r="27" spans="2:6" x14ac:dyDescent="0.2">
      <c r="B27" s="13"/>
      <c r="C27" s="7"/>
      <c r="D27" s="7"/>
      <c r="E27" s="4">
        <f t="shared" si="0"/>
        <v>0</v>
      </c>
      <c r="F27" s="4">
        <f t="shared" si="1"/>
        <v>0</v>
      </c>
    </row>
    <row r="28" spans="2:6" x14ac:dyDescent="0.2">
      <c r="B28" s="13"/>
      <c r="C28" s="7"/>
      <c r="D28" s="7"/>
      <c r="E28" s="4">
        <f t="shared" si="0"/>
        <v>0</v>
      </c>
      <c r="F28" s="4">
        <f t="shared" si="1"/>
        <v>0</v>
      </c>
    </row>
    <row r="29" spans="2:6" x14ac:dyDescent="0.2">
      <c r="B29" s="13"/>
      <c r="C29" s="7"/>
      <c r="D29" s="7"/>
      <c r="E29" s="4">
        <f t="shared" si="0"/>
        <v>0</v>
      </c>
      <c r="F29" s="4">
        <f t="shared" si="1"/>
        <v>0</v>
      </c>
    </row>
    <row r="30" spans="2:6" x14ac:dyDescent="0.2">
      <c r="B30" s="13"/>
      <c r="C30" s="7"/>
      <c r="D30" s="7"/>
      <c r="E30" s="4">
        <f t="shared" si="0"/>
        <v>0</v>
      </c>
      <c r="F30" s="4">
        <f t="shared" si="1"/>
        <v>0</v>
      </c>
    </row>
    <row r="31" spans="2:6" x14ac:dyDescent="0.2">
      <c r="B31" s="13"/>
      <c r="C31" s="7"/>
      <c r="D31" s="7"/>
      <c r="E31" s="4">
        <f t="shared" si="0"/>
        <v>0</v>
      </c>
      <c r="F31" s="4">
        <f t="shared" si="1"/>
        <v>0</v>
      </c>
    </row>
    <row r="32" spans="2:6" x14ac:dyDescent="0.2">
      <c r="B32" s="13"/>
      <c r="C32" s="7"/>
      <c r="D32" s="7"/>
      <c r="E32" s="4">
        <f t="shared" si="0"/>
        <v>0</v>
      </c>
      <c r="F32" s="4">
        <f t="shared" si="1"/>
        <v>0</v>
      </c>
    </row>
    <row r="33" spans="2:6" x14ac:dyDescent="0.2">
      <c r="B33" s="13"/>
      <c r="C33" s="7"/>
      <c r="D33" s="7"/>
      <c r="E33" s="4">
        <f t="shared" si="0"/>
        <v>0</v>
      </c>
      <c r="F33" s="4">
        <f t="shared" si="1"/>
        <v>0</v>
      </c>
    </row>
    <row r="34" spans="2:6" x14ac:dyDescent="0.2">
      <c r="B34" s="13"/>
      <c r="C34" s="7"/>
      <c r="D34" s="7"/>
      <c r="E34" s="4">
        <f t="shared" si="0"/>
        <v>0</v>
      </c>
      <c r="F34" s="4">
        <f t="shared" si="1"/>
        <v>0</v>
      </c>
    </row>
    <row r="35" spans="2:6" x14ac:dyDescent="0.2">
      <c r="B35" s="13"/>
      <c r="C35" s="7"/>
      <c r="D35" s="7"/>
      <c r="E35" s="4">
        <f t="shared" si="0"/>
        <v>0</v>
      </c>
      <c r="F35" s="4">
        <f t="shared" si="1"/>
        <v>0</v>
      </c>
    </row>
    <row r="36" spans="2:6" x14ac:dyDescent="0.2">
      <c r="B36" s="13"/>
      <c r="C36" s="7"/>
      <c r="D36" s="7"/>
      <c r="E36" s="4">
        <f t="shared" ref="E36:E52" si="2">IFERROR(VLOOKUP(C36,SynthGHGRate,2,FALSE),0)</f>
        <v>0</v>
      </c>
      <c r="F36" s="4">
        <f t="shared" si="1"/>
        <v>0</v>
      </c>
    </row>
    <row r="37" spans="2:6" x14ac:dyDescent="0.2">
      <c r="B37" s="13"/>
      <c r="C37" s="7"/>
      <c r="D37" s="7"/>
      <c r="E37" s="4">
        <f t="shared" si="2"/>
        <v>0</v>
      </c>
      <c r="F37" s="4">
        <f t="shared" si="1"/>
        <v>0</v>
      </c>
    </row>
    <row r="38" spans="2:6" x14ac:dyDescent="0.2">
      <c r="B38" s="13"/>
      <c r="C38" s="7"/>
      <c r="D38" s="7"/>
      <c r="E38" s="4">
        <f t="shared" si="2"/>
        <v>0</v>
      </c>
      <c r="F38" s="4">
        <f t="shared" si="1"/>
        <v>0</v>
      </c>
    </row>
    <row r="39" spans="2:6" x14ac:dyDescent="0.2">
      <c r="B39" s="13"/>
      <c r="C39" s="7"/>
      <c r="D39" s="7"/>
      <c r="E39" s="4">
        <f t="shared" si="2"/>
        <v>0</v>
      </c>
      <c r="F39" s="4">
        <f t="shared" si="1"/>
        <v>0</v>
      </c>
    </row>
    <row r="40" spans="2:6" x14ac:dyDescent="0.2">
      <c r="B40" s="13"/>
      <c r="C40" s="7"/>
      <c r="D40" s="7"/>
      <c r="E40" s="4">
        <f t="shared" si="2"/>
        <v>0</v>
      </c>
      <c r="F40" s="4">
        <f t="shared" si="1"/>
        <v>0</v>
      </c>
    </row>
    <row r="41" spans="2:6" x14ac:dyDescent="0.2">
      <c r="B41" s="13"/>
      <c r="C41" s="7"/>
      <c r="D41" s="7"/>
      <c r="E41" s="4">
        <f t="shared" si="2"/>
        <v>0</v>
      </c>
      <c r="F41" s="4">
        <f t="shared" si="1"/>
        <v>0</v>
      </c>
    </row>
    <row r="42" spans="2:6" x14ac:dyDescent="0.2">
      <c r="B42" s="13"/>
      <c r="C42" s="7"/>
      <c r="D42" s="7"/>
      <c r="E42" s="4">
        <f t="shared" si="2"/>
        <v>0</v>
      </c>
      <c r="F42" s="4">
        <f t="shared" si="1"/>
        <v>0</v>
      </c>
    </row>
    <row r="43" spans="2:6" x14ac:dyDescent="0.2">
      <c r="B43" s="13"/>
      <c r="C43" s="7"/>
      <c r="D43" s="7"/>
      <c r="E43" s="4">
        <f t="shared" si="2"/>
        <v>0</v>
      </c>
      <c r="F43" s="4">
        <f t="shared" si="1"/>
        <v>0</v>
      </c>
    </row>
    <row r="44" spans="2:6" x14ac:dyDescent="0.2">
      <c r="B44" s="13"/>
      <c r="C44" s="7"/>
      <c r="D44" s="7"/>
      <c r="E44" s="4">
        <f t="shared" si="2"/>
        <v>0</v>
      </c>
      <c r="F44" s="4">
        <f t="shared" si="1"/>
        <v>0</v>
      </c>
    </row>
    <row r="45" spans="2:6" x14ac:dyDescent="0.2">
      <c r="B45" s="13"/>
      <c r="C45" s="7"/>
      <c r="D45" s="7"/>
      <c r="E45" s="4">
        <f t="shared" si="2"/>
        <v>0</v>
      </c>
      <c r="F45" s="4">
        <f t="shared" si="1"/>
        <v>0</v>
      </c>
    </row>
    <row r="46" spans="2:6" x14ac:dyDescent="0.2">
      <c r="B46" s="13"/>
      <c r="C46" s="7"/>
      <c r="D46" s="7"/>
      <c r="E46" s="4">
        <f t="shared" si="2"/>
        <v>0</v>
      </c>
      <c r="F46" s="4">
        <f t="shared" si="1"/>
        <v>0</v>
      </c>
    </row>
    <row r="47" spans="2:6" x14ac:dyDescent="0.2">
      <c r="B47" s="13"/>
      <c r="C47" s="7"/>
      <c r="D47" s="7"/>
      <c r="E47" s="4">
        <f t="shared" si="2"/>
        <v>0</v>
      </c>
      <c r="F47" s="4">
        <f t="shared" si="1"/>
        <v>0</v>
      </c>
    </row>
    <row r="48" spans="2:6" x14ac:dyDescent="0.2">
      <c r="B48" s="13"/>
      <c r="C48" s="7"/>
      <c r="D48" s="7"/>
      <c r="E48" s="4">
        <f t="shared" si="2"/>
        <v>0</v>
      </c>
      <c r="F48" s="4">
        <f t="shared" si="1"/>
        <v>0</v>
      </c>
    </row>
    <row r="49" spans="2:6" x14ac:dyDescent="0.2">
      <c r="B49" s="13"/>
      <c r="C49" s="7"/>
      <c r="D49" s="7"/>
      <c r="E49" s="4">
        <f t="shared" si="2"/>
        <v>0</v>
      </c>
      <c r="F49" s="4">
        <f t="shared" si="1"/>
        <v>0</v>
      </c>
    </row>
    <row r="50" spans="2:6" x14ac:dyDescent="0.2">
      <c r="B50" s="13"/>
      <c r="C50" s="7"/>
      <c r="D50" s="7"/>
      <c r="E50" s="4">
        <f t="shared" si="2"/>
        <v>0</v>
      </c>
      <c r="F50" s="4">
        <f t="shared" si="1"/>
        <v>0</v>
      </c>
    </row>
    <row r="51" spans="2:6" x14ac:dyDescent="0.2">
      <c r="B51" s="13"/>
      <c r="C51" s="7"/>
      <c r="D51" s="7"/>
      <c r="E51" s="4">
        <f t="shared" si="2"/>
        <v>0</v>
      </c>
      <c r="F51" s="4">
        <f t="shared" si="1"/>
        <v>0</v>
      </c>
    </row>
    <row r="52" spans="2:6" x14ac:dyDescent="0.2">
      <c r="B52" s="13"/>
      <c r="C52" s="7"/>
      <c r="D52" s="7"/>
      <c r="E52" s="4">
        <f t="shared" si="2"/>
        <v>0</v>
      </c>
      <c r="F52" s="4">
        <f t="shared" si="1"/>
        <v>0</v>
      </c>
    </row>
    <row r="53" spans="2:6" x14ac:dyDescent="0.2">
      <c r="F53" s="14">
        <f>SUM(F4:F52)</f>
        <v>0</v>
      </c>
    </row>
  </sheetData>
  <mergeCells count="2">
    <mergeCell ref="B2:B3"/>
    <mergeCell ref="C2:C3"/>
  </mergeCells>
  <dataValidations count="1">
    <dataValidation type="list" allowBlank="1" showInputMessage="1" showErrorMessage="1" sqref="C4:C52">
      <formula1>SynthGHGSource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Disclaimer</vt:lpstr>
      <vt:lpstr>Change Log</vt:lpstr>
      <vt:lpstr>15A Prescriptive Path</vt:lpstr>
      <vt:lpstr>15B NatHERS Path</vt:lpstr>
      <vt:lpstr>15C BASIX Path</vt:lpstr>
      <vt:lpstr>15D NABERS Energy Path</vt:lpstr>
      <vt:lpstr>15E Modelled Path</vt:lpstr>
      <vt:lpstr>Multiple Path Calcs</vt:lpstr>
      <vt:lpstr>Synthetic GHG</vt:lpstr>
      <vt:lpstr>Reference</vt:lpstr>
      <vt:lpstr>ACStarRating</vt:lpstr>
      <vt:lpstr>BASIXDwellingType</vt:lpstr>
      <vt:lpstr>BldgCapacity</vt:lpstr>
      <vt:lpstr>ComfortControl</vt:lpstr>
      <vt:lpstr>ContractTerm</vt:lpstr>
      <vt:lpstr>DHWFuel</vt:lpstr>
      <vt:lpstr>Fuels</vt:lpstr>
      <vt:lpstr>GeoGHGFactor</vt:lpstr>
      <vt:lpstr>GeoLocation</vt:lpstr>
      <vt:lpstr>HeatingCooling</vt:lpstr>
      <vt:lpstr>NatHERSStar</vt:lpstr>
      <vt:lpstr>NatHERSZone</vt:lpstr>
      <vt:lpstr>Option</vt:lpstr>
      <vt:lpstr>OptionNA</vt:lpstr>
      <vt:lpstr>OptNA</vt:lpstr>
      <vt:lpstr>'15D NABERS Energy Path'!Print_Area</vt:lpstr>
      <vt:lpstr>SynthGHGRate</vt:lpstr>
      <vt:lpstr>SynthGHGSource</vt:lpstr>
    </vt:vector>
  </TitlesOfParts>
  <Company>Norman Disney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richardj</dc:creator>
  <cp:lastModifiedBy>Zofia Kuypers</cp:lastModifiedBy>
  <cp:lastPrinted>2014-10-29T02:51:14Z</cp:lastPrinted>
  <dcterms:created xsi:type="dcterms:W3CDTF">2014-02-17T05:28:52Z</dcterms:created>
  <dcterms:modified xsi:type="dcterms:W3CDTF">2015-07-22T05:08:53Z</dcterms:modified>
</cp:coreProperties>
</file>