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990" windowHeight="8445" tabRatio="850"/>
  </bookViews>
  <sheets>
    <sheet name="Path 1. Class3-9 DTS" sheetId="3" r:id="rId1"/>
    <sheet name="Path 2.1. Class 5 DTS (NABERS)" sheetId="2" r:id="rId2"/>
    <sheet name="Path 2.2. Class 2 DTS (NatHERS)" sheetId="1" r:id="rId3"/>
    <sheet name="Path 2.3 Class2-9 Ref. Building" sheetId="5" r:id="rId4"/>
    <sheet name="Mixed Use Calculation" sheetId="4" r:id="rId5"/>
    <sheet name="Synthetic GHG" sheetId="7" r:id="rId6"/>
    <sheet name="References" sheetId="6" r:id="rId7"/>
  </sheets>
  <definedNames>
    <definedName name="ACStarRating">References!$Y$3:$Y$19</definedName>
    <definedName name="ComfortControl">References!$Z$6:$Z$8</definedName>
    <definedName name="Fuels">'Path 2.3 Class2-9 Ref. Building'!$B$7:$B$17</definedName>
    <definedName name="GeoGHGFactor">References!$AB$3:$AD$10</definedName>
    <definedName name="GeoLocation">References!$AB$3:$AB$10</definedName>
    <definedName name="NatHERSStar">References!$X$3:$X$22</definedName>
    <definedName name="NatHERSZone">References!$B$4:$B$72</definedName>
    <definedName name="Option">References!$Z$3:$Z$4</definedName>
    <definedName name="OptionNA">References!$Z$3:$Z$5</definedName>
    <definedName name="OptNA">References!$Z$5</definedName>
    <definedName name="SynthGHGRate">References!$AE$3:$AF$6</definedName>
    <definedName name="SynthGHGSource">References!$AE$3:$AE$6</definedName>
  </definedNames>
  <calcPr calcId="145621"/>
</workbook>
</file>

<file path=xl/calcChain.xml><?xml version="1.0" encoding="utf-8"?>
<calcChain xmlns="http://schemas.openxmlformats.org/spreadsheetml/2006/main">
  <c r="E10" i="7" l="1"/>
  <c r="K37" i="5" l="1"/>
  <c r="F37" i="5"/>
  <c r="G8" i="4"/>
  <c r="H7" i="4"/>
  <c r="G7" i="4"/>
  <c r="G6" i="4"/>
  <c r="G5" i="4"/>
  <c r="C95" i="5"/>
  <c r="C98" i="5" s="1"/>
  <c r="H8" i="4" s="1"/>
  <c r="C96" i="5"/>
  <c r="C65" i="1"/>
  <c r="C68" i="1" s="1"/>
  <c r="H5" i="4" s="1"/>
  <c r="C38" i="3"/>
  <c r="C41" i="3" s="1"/>
  <c r="H6" i="4" s="1"/>
  <c r="F38" i="5"/>
  <c r="F39" i="5"/>
  <c r="F40" i="5"/>
  <c r="F41" i="5"/>
  <c r="F42" i="5"/>
  <c r="I43" i="5"/>
  <c r="D43" i="5"/>
  <c r="C77" i="5" s="1"/>
  <c r="F32" i="5"/>
  <c r="F33" i="5"/>
  <c r="F34" i="5"/>
  <c r="F35" i="5"/>
  <c r="F36" i="5"/>
  <c r="F31" i="5"/>
  <c r="F96" i="5"/>
  <c r="G96" i="5" s="1"/>
  <c r="E95" i="5"/>
  <c r="K72" i="5"/>
  <c r="D66" i="5"/>
  <c r="E66" i="5"/>
  <c r="F66" i="5"/>
  <c r="G66" i="5"/>
  <c r="C8" i="5"/>
  <c r="C7" i="5"/>
  <c r="D6" i="4"/>
  <c r="C29" i="3"/>
  <c r="C28" i="3"/>
  <c r="C27" i="3"/>
  <c r="C26" i="3"/>
  <c r="C25" i="3"/>
  <c r="C56" i="1"/>
  <c r="F32" i="1"/>
  <c r="E45" i="1"/>
  <c r="E46" i="1"/>
  <c r="E47" i="1"/>
  <c r="E44" i="1"/>
  <c r="E49" i="1"/>
  <c r="E42" i="1"/>
  <c r="C13" i="5"/>
  <c r="C12" i="5"/>
  <c r="C11" i="5"/>
  <c r="C10" i="5"/>
  <c r="C9" i="5"/>
  <c r="AD10" i="6"/>
  <c r="AD9" i="6"/>
  <c r="AD8" i="6"/>
  <c r="AD7" i="6"/>
  <c r="AD6" i="6"/>
  <c r="AD5" i="6"/>
  <c r="AD4" i="6"/>
  <c r="AD3" i="6"/>
  <c r="E5" i="7"/>
  <c r="F5" i="7" s="1"/>
  <c r="E6" i="7"/>
  <c r="F6" i="7" s="1"/>
  <c r="E7" i="7"/>
  <c r="F7" i="7" s="1"/>
  <c r="E8" i="7"/>
  <c r="F8" i="7" s="1"/>
  <c r="E9" i="7"/>
  <c r="F10" i="7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4" i="7"/>
  <c r="F4" i="7" s="1"/>
  <c r="F9" i="7"/>
  <c r="F17" i="7"/>
  <c r="F25" i="7"/>
  <c r="F33" i="7"/>
  <c r="F53" i="7" l="1"/>
  <c r="F43" i="5"/>
  <c r="C30" i="3"/>
  <c r="E6" i="4" s="1"/>
  <c r="K42" i="5"/>
  <c r="K41" i="5"/>
  <c r="K40" i="5"/>
  <c r="K39" i="5"/>
  <c r="K38" i="5"/>
  <c r="K36" i="5"/>
  <c r="K35" i="5"/>
  <c r="K34" i="5"/>
  <c r="K33" i="5"/>
  <c r="K32" i="5"/>
  <c r="K31" i="5"/>
  <c r="K27" i="5"/>
  <c r="K28" i="5"/>
  <c r="K29" i="5"/>
  <c r="K26" i="5"/>
  <c r="K25" i="5"/>
  <c r="K24" i="5"/>
  <c r="K23" i="5"/>
  <c r="K22" i="5"/>
  <c r="E80" i="5"/>
  <c r="E89" i="5"/>
  <c r="F86" i="5"/>
  <c r="E86" i="5" s="1"/>
  <c r="D7" i="4" l="1"/>
  <c r="I56" i="5"/>
  <c r="I66" i="5" s="1"/>
  <c r="G39" i="1"/>
  <c r="E39" i="1" s="1"/>
  <c r="G38" i="1"/>
  <c r="E38" i="1" s="1"/>
  <c r="C35" i="1"/>
  <c r="G7" i="2"/>
  <c r="I25" i="2" s="1"/>
  <c r="G38" i="5"/>
  <c r="G39" i="5"/>
  <c r="G40" i="5"/>
  <c r="G41" i="5"/>
  <c r="G42" i="5"/>
  <c r="G36" i="5"/>
  <c r="G35" i="5"/>
  <c r="G34" i="5"/>
  <c r="G33" i="5"/>
  <c r="G32" i="5"/>
  <c r="G31" i="5"/>
  <c r="G23" i="5"/>
  <c r="G24" i="5"/>
  <c r="G25" i="5"/>
  <c r="G26" i="5"/>
  <c r="G27" i="5"/>
  <c r="G28" i="5"/>
  <c r="G29" i="5"/>
  <c r="G22" i="5"/>
  <c r="G57" i="5" s="1"/>
  <c r="C78" i="5"/>
  <c r="F56" i="5"/>
  <c r="F57" i="5"/>
  <c r="F58" i="5"/>
  <c r="G58" i="5"/>
  <c r="F59" i="5"/>
  <c r="F60" i="5"/>
  <c r="G60" i="5"/>
  <c r="F61" i="5"/>
  <c r="G61" i="5"/>
  <c r="F62" i="5"/>
  <c r="G62" i="5"/>
  <c r="F63" i="5"/>
  <c r="G63" i="5"/>
  <c r="F64" i="5"/>
  <c r="G64" i="5"/>
  <c r="F65" i="5"/>
  <c r="G65" i="5"/>
  <c r="E24" i="5"/>
  <c r="E31" i="5"/>
  <c r="E32" i="5"/>
  <c r="E33" i="5"/>
  <c r="I57" i="5"/>
  <c r="I58" i="5"/>
  <c r="J58" i="5"/>
  <c r="I59" i="5"/>
  <c r="J59" i="5"/>
  <c r="I60" i="5"/>
  <c r="J60" i="5"/>
  <c r="I61" i="5"/>
  <c r="J61" i="5"/>
  <c r="I62" i="5"/>
  <c r="J62" i="5"/>
  <c r="I63" i="5"/>
  <c r="J63" i="5"/>
  <c r="I64" i="5"/>
  <c r="J64" i="5"/>
  <c r="I65" i="5"/>
  <c r="I69" i="5"/>
  <c r="J52" i="5"/>
  <c r="J65" i="5" s="1"/>
  <c r="J50" i="5"/>
  <c r="J47" i="5"/>
  <c r="J46" i="5"/>
  <c r="E58" i="5"/>
  <c r="E60" i="5"/>
  <c r="E61" i="5"/>
  <c r="E62" i="5"/>
  <c r="E63" i="5"/>
  <c r="E64" i="5"/>
  <c r="E65" i="5"/>
  <c r="D57" i="5"/>
  <c r="D58" i="5"/>
  <c r="D59" i="5"/>
  <c r="D60" i="5"/>
  <c r="D61" i="5"/>
  <c r="D62" i="5"/>
  <c r="D63" i="5"/>
  <c r="D64" i="5"/>
  <c r="D65" i="5"/>
  <c r="D56" i="5"/>
  <c r="C16" i="1"/>
  <c r="J34" i="5"/>
  <c r="J35" i="5"/>
  <c r="J36" i="5"/>
  <c r="J38" i="5"/>
  <c r="J39" i="5"/>
  <c r="J40" i="5"/>
  <c r="J41" i="5"/>
  <c r="J42" i="5"/>
  <c r="E34" i="5"/>
  <c r="E35" i="5"/>
  <c r="E36" i="5"/>
  <c r="E38" i="5"/>
  <c r="E39" i="5"/>
  <c r="E40" i="5"/>
  <c r="E41" i="5"/>
  <c r="E42" i="5"/>
  <c r="J49" i="5"/>
  <c r="J31" i="5"/>
  <c r="J29" i="5"/>
  <c r="J28" i="5"/>
  <c r="J27" i="5"/>
  <c r="J26" i="5"/>
  <c r="J25" i="5"/>
  <c r="J23" i="5"/>
  <c r="J22" i="5"/>
  <c r="J57" i="5" s="1"/>
  <c r="E23" i="5"/>
  <c r="E25" i="5"/>
  <c r="E26" i="5"/>
  <c r="E27" i="5"/>
  <c r="E28" i="5"/>
  <c r="E29" i="5"/>
  <c r="E22" i="5"/>
  <c r="E57" i="5" s="1"/>
  <c r="D8" i="4"/>
  <c r="D5" i="4"/>
  <c r="F36" i="1"/>
  <c r="E36" i="1" s="1"/>
  <c r="E33" i="1"/>
  <c r="E41" i="1"/>
  <c r="F37" i="1"/>
  <c r="E37" i="1" s="1"/>
  <c r="E34" i="1"/>
  <c r="E30" i="1"/>
  <c r="E31" i="1"/>
  <c r="E29" i="1"/>
  <c r="C7" i="1"/>
  <c r="C15" i="1" s="1"/>
  <c r="C23" i="1" s="1"/>
  <c r="C6" i="1"/>
  <c r="C14" i="1" s="1"/>
  <c r="C22" i="1" s="1"/>
  <c r="G18" i="2"/>
  <c r="C9" i="4"/>
  <c r="F6" i="4" l="1"/>
  <c r="I7" i="4"/>
  <c r="I6" i="4"/>
  <c r="I8" i="4"/>
  <c r="I5" i="4"/>
  <c r="C79" i="5"/>
  <c r="C80" i="5" s="1"/>
  <c r="I24" i="2"/>
  <c r="H25" i="2" s="1"/>
  <c r="D68" i="5"/>
  <c r="F68" i="5"/>
  <c r="G8" i="2"/>
  <c r="C53" i="1"/>
  <c r="I68" i="5"/>
  <c r="J56" i="5"/>
  <c r="J68" i="5" s="1"/>
  <c r="G59" i="5"/>
  <c r="I67" i="5"/>
  <c r="G43" i="5"/>
  <c r="G56" i="5"/>
  <c r="J69" i="5"/>
  <c r="E59" i="5"/>
  <c r="E56" i="5"/>
  <c r="J43" i="5"/>
  <c r="E43" i="5"/>
  <c r="C55" i="1"/>
  <c r="C54" i="1"/>
  <c r="C25" i="1"/>
  <c r="C52" i="1" s="1"/>
  <c r="I9" i="4" l="1"/>
  <c r="G25" i="2"/>
  <c r="H24" i="2"/>
  <c r="G24" i="2" s="1"/>
  <c r="G68" i="5"/>
  <c r="E68" i="5"/>
  <c r="C57" i="1"/>
  <c r="E5" i="4" s="1"/>
  <c r="F5" i="4" s="1"/>
  <c r="C82" i="5"/>
  <c r="J66" i="5"/>
  <c r="J67" i="5" s="1"/>
  <c r="C83" i="5" s="1"/>
  <c r="C88" i="5"/>
  <c r="C89" i="5" s="1"/>
  <c r="G26" i="2" l="1"/>
  <c r="E7" i="4" s="1"/>
  <c r="F7" i="4" s="1"/>
  <c r="C84" i="5"/>
  <c r="C85" i="5"/>
  <c r="C86" i="5" l="1"/>
  <c r="C91" i="5" s="1"/>
  <c r="E8" i="4" l="1"/>
  <c r="F8" i="4" s="1"/>
  <c r="F9" i="4" s="1"/>
</calcChain>
</file>

<file path=xl/comments1.xml><?xml version="1.0" encoding="utf-8"?>
<comments xmlns="http://schemas.openxmlformats.org/spreadsheetml/2006/main">
  <authors>
    <author>richardj</author>
  </authors>
  <commentList>
    <comment ref="E41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Minimum peak demand reduction threshold</t>
        </r>
      </text>
    </comment>
  </commentList>
</comments>
</file>

<file path=xl/comments2.xml><?xml version="1.0" encoding="utf-8"?>
<comments xmlns="http://schemas.openxmlformats.org/spreadsheetml/2006/main">
  <authors>
    <author>richardj</author>
  </authors>
  <commentList>
    <comment ref="E68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Minimum peak demand reduction threshold</t>
        </r>
      </text>
    </comment>
  </commentList>
</comments>
</file>

<file path=xl/comments3.xml><?xml version="1.0" encoding="utf-8"?>
<comments xmlns="http://schemas.openxmlformats.org/spreadsheetml/2006/main">
  <authors>
    <author>richardj</author>
  </authors>
  <commentList>
    <comment ref="L19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Project teams must provide comment on the causes of the improvements in the design building where the improvement exceeds 5%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Ensure that energy values entered are in units consistent with the GHG emission factors, i.e. kWh for electricity and MJ for all other fuels/energy sources</t>
        </r>
      </text>
    </comment>
    <comment ref="F20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Ensure that energy values entered are in units consistent with the GHG emission factors, i.e. kWh for electricity and MJ for all other fuels/energy sources</t>
        </r>
      </text>
    </comment>
    <comment ref="I20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Ensure that energy values entered are in units consistent with the GHG emission factors, i.e. kWh for electricity and MJ for all other fuels/energy sources</t>
        </r>
      </text>
    </comment>
    <comment ref="E80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Points available for this component of the credit</t>
        </r>
      </text>
    </comment>
    <comment ref="F80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Proportion of points available for this component of the credit</t>
        </r>
      </text>
    </comment>
    <comment ref="G80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Maximum improvement rewarded by credit</t>
        </r>
      </text>
    </comment>
    <comment ref="E86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Points available for this component of the credit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Proportion of points available for this component of the credit</t>
        </r>
      </text>
    </comment>
    <comment ref="G86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Maximum improvement rewarded by credit</t>
        </r>
      </text>
    </comment>
    <comment ref="E89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Points available for this component of the credit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Proportion of points available for this component of the credit</t>
        </r>
      </text>
    </comment>
    <comment ref="G89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Maximum improvement rewarded by credit</t>
        </r>
      </text>
    </comment>
    <comment ref="F96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Straight line gradient</t>
        </r>
      </text>
    </comment>
    <comment ref="G96" authorId="0">
      <text>
        <r>
          <rPr>
            <b/>
            <sz val="9"/>
            <color indexed="81"/>
            <rFont val="Tahoma"/>
            <family val="2"/>
          </rPr>
          <t>richardj:</t>
        </r>
        <r>
          <rPr>
            <sz val="9"/>
            <color indexed="81"/>
            <rFont val="Tahoma"/>
            <family val="2"/>
          </rPr>
          <t xml:space="preserve">
Straight line intercept</t>
        </r>
      </text>
    </comment>
  </commentList>
</comments>
</file>

<file path=xl/sharedStrings.xml><?xml version="1.0" encoding="utf-8"?>
<sst xmlns="http://schemas.openxmlformats.org/spreadsheetml/2006/main" count="409" uniqueCount="287">
  <si>
    <t>Legislated Minimum Development Average Rating</t>
  </si>
  <si>
    <t>Legislated Minimum Worst-Case Apartment Rating</t>
  </si>
  <si>
    <t>star</t>
  </si>
  <si>
    <t>Green Star Minimum Average Benchmark</t>
  </si>
  <si>
    <t>Green Star Minimum Worst-Case Benchmark</t>
  </si>
  <si>
    <t>Climate Zone</t>
  </si>
  <si>
    <t>NatHERS Climate Zone</t>
  </si>
  <si>
    <t>Energy Intensity at GS Min Avg Benchmark</t>
  </si>
  <si>
    <t>Energy Intensity at GS WC Benchmark</t>
  </si>
  <si>
    <t>Energy Intensity at NatHERS 10-star</t>
  </si>
  <si>
    <t>MJ/m²</t>
  </si>
  <si>
    <t>Project Average Energy Intensity</t>
  </si>
  <si>
    <t>Project Worst-Case Energy Intensity</t>
  </si>
  <si>
    <t>Minimum Performance Compliance</t>
  </si>
  <si>
    <t>Average</t>
  </si>
  <si>
    <t>Worst-Case</t>
  </si>
  <si>
    <t>HVAC</t>
  </si>
  <si>
    <t>BUILDING SERVICES SPECIFICATION</t>
  </si>
  <si>
    <t>Lighting</t>
  </si>
  <si>
    <t>Domestic Hot Water</t>
  </si>
  <si>
    <t>Appliances and Equipment</t>
  </si>
  <si>
    <t>Location</t>
  </si>
  <si>
    <t>Energy Rating (stars)</t>
  </si>
  <si>
    <t>Darwin</t>
  </si>
  <si>
    <t>Port Hedland</t>
  </si>
  <si>
    <t>Longreach</t>
  </si>
  <si>
    <t>Carnarvon</t>
  </si>
  <si>
    <t>Townsville</t>
  </si>
  <si>
    <t>Alice Springs</t>
  </si>
  <si>
    <t>Rockhampton</t>
  </si>
  <si>
    <t>Moree</t>
  </si>
  <si>
    <t>Amberley</t>
  </si>
  <si>
    <t>Brisbane</t>
  </si>
  <si>
    <t>Coffs Harbour</t>
  </si>
  <si>
    <t>Geraldton</t>
  </si>
  <si>
    <t>Perth</t>
  </si>
  <si>
    <t>Armidale</t>
  </si>
  <si>
    <t>Williamtown</t>
  </si>
  <si>
    <t>Adelaide</t>
  </si>
  <si>
    <t>Sydney East</t>
  </si>
  <si>
    <t>Nowra</t>
  </si>
  <si>
    <t>Charleville</t>
  </si>
  <si>
    <t>Wagga</t>
  </si>
  <si>
    <t>Melbourne</t>
  </si>
  <si>
    <t>East Sale</t>
  </si>
  <si>
    <t>Launceston</t>
  </si>
  <si>
    <t>All common area lighting with automatic lighting control</t>
  </si>
  <si>
    <t>Installed equipment capacity no more than 20% greater than design heating capacity</t>
  </si>
  <si>
    <t>Minimum cooling system Energy Star rating</t>
  </si>
  <si>
    <t>Minimum heating system Energy Star rating</t>
  </si>
  <si>
    <t>Project location postcode</t>
  </si>
  <si>
    <t>Rated Area</t>
  </si>
  <si>
    <t>m²</t>
  </si>
  <si>
    <t>Rated Hours</t>
  </si>
  <si>
    <t>per week</t>
  </si>
  <si>
    <t>kg</t>
  </si>
  <si>
    <t>Installed equipment capacity no more than 10% greater than design cooling capacity</t>
  </si>
  <si>
    <t>Maximum Points</t>
  </si>
  <si>
    <t>Achieved Points</t>
  </si>
  <si>
    <t>TOTAL</t>
  </si>
  <si>
    <t>Area-Weighted Points</t>
  </si>
  <si>
    <t>Performance Improvement</t>
  </si>
  <si>
    <t>Project raw GHG emissions (Scope 1, 2 and 3)</t>
  </si>
  <si>
    <t>Raw GHG emissions (Scope 1, 2 and 3) at GS minimum threshold</t>
  </si>
  <si>
    <t>W/m²/100 lux</t>
  </si>
  <si>
    <t>Refrigerators achieve a minimum Energy Rating of 1 star below the maximum available rating</t>
  </si>
  <si>
    <t>Washing machines achieve a minimum Energy Rating of 1 star below the maximum available rating</t>
  </si>
  <si>
    <t>Clothes dryers achieve a minimum Energy Rating of 1 star below the maximum available rating</t>
  </si>
  <si>
    <t>Dishwashers achieve a minimum Energy Rating of 1 star below the maximum available rating</t>
  </si>
  <si>
    <t>Heating and Cooling</t>
  </si>
  <si>
    <t>Hot Water</t>
  </si>
  <si>
    <t>AVAILABLE</t>
  </si>
  <si>
    <t>Photovoltaic</t>
  </si>
  <si>
    <t>Yes</t>
  </si>
  <si>
    <t>No</t>
  </si>
  <si>
    <t>CREDIT SCORE</t>
  </si>
  <si>
    <t>Lighting installation energy efficiency</t>
  </si>
  <si>
    <t>Heating</t>
  </si>
  <si>
    <t>Cooling</t>
  </si>
  <si>
    <t>Heat Rejection</t>
  </si>
  <si>
    <t>Air Conditioning Fans</t>
  </si>
  <si>
    <t>Mechanical Ventilation Fans</t>
  </si>
  <si>
    <t>Pumps</t>
  </si>
  <si>
    <t>Services</t>
  </si>
  <si>
    <t>Lifts</t>
  </si>
  <si>
    <t>Artificial Lighting - Internal</t>
  </si>
  <si>
    <t>Artificial Lighting - External</t>
  </si>
  <si>
    <t>Energy Demand</t>
  </si>
  <si>
    <t>GHG Emissions</t>
  </si>
  <si>
    <t>Renewable Energy</t>
  </si>
  <si>
    <t>Wind Turbines</t>
  </si>
  <si>
    <t>Co/Trigeneration</t>
  </si>
  <si>
    <t>Fuel Input</t>
  </si>
  <si>
    <t>Electricity Output</t>
  </si>
  <si>
    <t>REFERENCE BUILDING</t>
  </si>
  <si>
    <t>DESIGN BUILDING</t>
  </si>
  <si>
    <t>BUILDING LOCATION</t>
  </si>
  <si>
    <t>Natural Gas</t>
  </si>
  <si>
    <t>External Energy Services</t>
  </si>
  <si>
    <t>Electricity Supply</t>
  </si>
  <si>
    <t>Source</t>
  </si>
  <si>
    <t>&lt;Other 1 - user to specify&gt;</t>
  </si>
  <si>
    <t>&lt;Other 2 - user to specify&gt;</t>
  </si>
  <si>
    <t>&lt;Other 3 - user to specify&gt;</t>
  </si>
  <si>
    <t>&lt;Other 4 - user to specify&gt;</t>
  </si>
  <si>
    <t>&lt;Other 5 - user to specify&gt;</t>
  </si>
  <si>
    <t>LPG</t>
  </si>
  <si>
    <t>Diesel</t>
  </si>
  <si>
    <t>Coal</t>
  </si>
  <si>
    <t>Biomass</t>
  </si>
  <si>
    <t>Liquid Biofuels</t>
  </si>
  <si>
    <t>District CHW</t>
  </si>
  <si>
    <t>District HHW</t>
  </si>
  <si>
    <t>District Electricity</t>
  </si>
  <si>
    <t>Grid Electricity</t>
  </si>
  <si>
    <t>Location dependent</t>
  </si>
  <si>
    <t>Site dependent</t>
  </si>
  <si>
    <t>SUBTOTAL</t>
  </si>
  <si>
    <t>Improvement</t>
  </si>
  <si>
    <t>Energy Efficiency Points</t>
  </si>
  <si>
    <t>Benchmark Building GHG</t>
  </si>
  <si>
    <t>Design Building GHG</t>
  </si>
  <si>
    <t>GHG Reduction Points</t>
  </si>
  <si>
    <t>kgCO2e/annum</t>
  </si>
  <si>
    <t>DHW Circulators and Controls</t>
  </si>
  <si>
    <t>DCW Pumps and Controls</t>
  </si>
  <si>
    <t>TOTAL RENEWABLE</t>
  </si>
  <si>
    <t>Permissible Renewable Points</t>
  </si>
  <si>
    <t>PROJECT COMMENTS</t>
  </si>
  <si>
    <t>INTERMEDIATE BUILDING</t>
  </si>
  <si>
    <t>Intermediate Building Energy</t>
  </si>
  <si>
    <t>Building Total GFA (excluding car parks)</t>
  </si>
  <si>
    <t>Building GFA within NABERS scope</t>
  </si>
  <si>
    <t>Proportion of building area assessed</t>
  </si>
  <si>
    <t>Comfort control strategy</t>
  </si>
  <si>
    <t>Mechanical Cooling</t>
  </si>
  <si>
    <t>Natural Ventilation</t>
  </si>
  <si>
    <t>Mechanical cooling</t>
  </si>
  <si>
    <t>Mixed</t>
  </si>
  <si>
    <t>If Mixed, proportion of apartments with nat vent</t>
  </si>
  <si>
    <t>Mech</t>
  </si>
  <si>
    <t>Nat Vent</t>
  </si>
  <si>
    <t>Proportion GP</t>
  </si>
  <si>
    <t>Accredited GP</t>
  </si>
  <si>
    <t>TOTAL inc Green Power</t>
  </si>
  <si>
    <t>TOTAL exc Green Power</t>
  </si>
  <si>
    <t>Using Shared Services Utilities</t>
  </si>
  <si>
    <t>ACT</t>
  </si>
  <si>
    <t>NSW</t>
  </si>
  <si>
    <t>NT</t>
  </si>
  <si>
    <t>WA</t>
  </si>
  <si>
    <t>VIC</t>
  </si>
  <si>
    <t>SA</t>
  </si>
  <si>
    <t>TAS</t>
  </si>
  <si>
    <t>QLD</t>
  </si>
  <si>
    <t>Elec</t>
  </si>
  <si>
    <t>Gas</t>
  </si>
  <si>
    <t>Conditional Compliance</t>
  </si>
  <si>
    <t>Base Building NABERS Energy Peformance</t>
  </si>
  <si>
    <t>Upper</t>
  </si>
  <si>
    <t>Lower</t>
  </si>
  <si>
    <t>NA</t>
  </si>
  <si>
    <t>Installed solar thermal heating system capacity (total RECs)</t>
  </si>
  <si>
    <t>Building total nominal occupancy</t>
  </si>
  <si>
    <t>Item</t>
  </si>
  <si>
    <t>Class</t>
  </si>
  <si>
    <t>Leakage Rate</t>
  </si>
  <si>
    <t>GHG Emission Rate</t>
  </si>
  <si>
    <t>Commercial air conditioning – chillers</t>
  </si>
  <si>
    <t>Commercial refrigeration – supermarket systems</t>
  </si>
  <si>
    <t>Industrial refrigeration including food processing and cold storage</t>
  </si>
  <si>
    <t>Gas insulated switchgear and circuit breaker applications</t>
  </si>
  <si>
    <t>Synthetic GHG source equipment type</t>
  </si>
  <si>
    <t>Leakage rate</t>
  </si>
  <si>
    <t>GHG Content</t>
  </si>
  <si>
    <r>
      <t>kgCO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e/kg/annum</t>
    </r>
  </si>
  <si>
    <r>
      <t>kgCO</t>
    </r>
    <r>
      <rPr>
        <b/>
        <vertAlign val="sub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e/annum</t>
    </r>
  </si>
  <si>
    <t>Location independent</t>
  </si>
  <si>
    <r>
      <t>kgCO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e/kWh</t>
    </r>
  </si>
  <si>
    <r>
      <t>kgCO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e/MJ</t>
    </r>
  </si>
  <si>
    <t>GHG Emission Intensity Factors</t>
  </si>
  <si>
    <t>Building Sealing</t>
  </si>
  <si>
    <t>Installed heat source efficiency of not less than 85% gross thermal efficiency (as per Asxxxx)</t>
  </si>
  <si>
    <t>Lighting power density is reduced by at least 10% below the requirement of BCA Part J6 for sole-occupancy units of Class 2 buildings, and in all communal areas accessible by residents</t>
  </si>
  <si>
    <t>Independent light switching to each room of each sole-occupancy unit (including separation of kitchen and living area in open-plan living/dining areas).</t>
  </si>
  <si>
    <t>Cross ventilation pathway in all naturally ventilated apartments</t>
  </si>
  <si>
    <t>Ceiling fan installed in all naturally ventilated apartments</t>
  </si>
  <si>
    <t>For mechanically air-conditioned buildings, an air pressurisation test is carried out in accordance with ASTM E779-10, ATTMA TSL1, or an equivalent standard.  For naturally-ventilated buildings, compliance with credit IEQ-1</t>
  </si>
  <si>
    <t>Building Fabric</t>
  </si>
  <si>
    <t>Glazing</t>
  </si>
  <si>
    <t>Automated lighting control systems are provided to at least 95% of the nominated area</t>
  </si>
  <si>
    <t>For Class 5 and 9a buildings, individually switched lighting zones do not exceed 100 m²</t>
  </si>
  <si>
    <t>For mechanically air conditioned and mixed mode spaces, a pressurised building air leakage test in accordance with ASTM E779-10 or ATTMA TSL2</t>
  </si>
  <si>
    <t>For naturally ventilated spaces, compliance with credit IEQ-1</t>
  </si>
  <si>
    <t>TOTAL AVAILABLE</t>
  </si>
  <si>
    <t>All material R values are increased by at least X% relative to the minimum required values as per Parts J1.3, J1.5 and J1.6</t>
  </si>
  <si>
    <t>Accredited GreenPower</t>
  </si>
  <si>
    <t>For vertical glazing, not more than X% of the total allowance for each orientation of each storey of the building</t>
  </si>
  <si>
    <t>For roof lights, reduction of at least X% from the applicable U and SHGC values as per Part J1.4</t>
  </si>
  <si>
    <t>A reduction of at least X% relative to the maximum allowable aggregated lighting power density as per Part J6</t>
  </si>
  <si>
    <t>A reduction of at least X% relative to the maximum allowable fan motor power as per Part J5.2</t>
  </si>
  <si>
    <t>A reduction of at least X% relative to the maximum allowable pump motor power as per Part J5.4</t>
  </si>
  <si>
    <t>An increase of at least X% relative to the minimum required gross thermal efficiency for water heaters as per Part J5.4</t>
  </si>
  <si>
    <t>An increase of at least X% relative to the minimum required energy efficiency ratio for packaged air conditioning equipment and refrigerant chillers as per Part J5.4 and MEPS</t>
  </si>
  <si>
    <t>Canberra</t>
  </si>
  <si>
    <t>Cabramurra</t>
  </si>
  <si>
    <t>Hobart</t>
  </si>
  <si>
    <t>Mildura</t>
  </si>
  <si>
    <t>Richmond (NSW)</t>
  </si>
  <si>
    <t>Weipa</t>
  </si>
  <si>
    <t>Wyndham</t>
  </si>
  <si>
    <t>Willis Island</t>
  </si>
  <si>
    <t>Cairns</t>
  </si>
  <si>
    <t>Broome</t>
  </si>
  <si>
    <t>Learmouth</t>
  </si>
  <si>
    <t>Mackay</t>
  </si>
  <si>
    <t>Gladstone</t>
  </si>
  <si>
    <t>Halls Creek</t>
  </si>
  <si>
    <t>Tennant Creek</t>
  </si>
  <si>
    <t>Mt Isa</t>
  </si>
  <si>
    <t>Newman</t>
  </si>
  <si>
    <t>Giles</t>
  </si>
  <si>
    <t>Meekatharra</t>
  </si>
  <si>
    <t>Oodnadatta</t>
  </si>
  <si>
    <t>Kalgoorlie</t>
  </si>
  <si>
    <t>Woomera</t>
  </si>
  <si>
    <t>Cobar</t>
  </si>
  <si>
    <t>Bickley</t>
  </si>
  <si>
    <t>Dubbo</t>
  </si>
  <si>
    <t>Katanning</t>
  </si>
  <si>
    <t>Oakey</t>
  </si>
  <si>
    <t>Forrest</t>
  </si>
  <si>
    <t>Swanbourne</t>
  </si>
  <si>
    <t>Ceduna</t>
  </si>
  <si>
    <t>Mandurah</t>
  </si>
  <si>
    <t>Esperance</t>
  </si>
  <si>
    <t>Mascot</t>
  </si>
  <si>
    <t>Manjimup</t>
  </si>
  <si>
    <t>Albany</t>
  </si>
  <si>
    <t>Mt Lofty</t>
  </si>
  <si>
    <t>Tullamarine</t>
  </si>
  <si>
    <t>Mt Gambier</t>
  </si>
  <si>
    <t>Moorabbin</t>
  </si>
  <si>
    <t>Warrnambool</t>
  </si>
  <si>
    <t>Cape Otway</t>
  </si>
  <si>
    <t>Orange</t>
  </si>
  <si>
    <t>Ballarat</t>
  </si>
  <si>
    <t>Low Head</t>
  </si>
  <si>
    <t>Launceston Air</t>
  </si>
  <si>
    <t>Thredbo</t>
  </si>
  <si>
    <t>Units</t>
  </si>
  <si>
    <t>Peak Electricity Demand</t>
  </si>
  <si>
    <t>Day of Peak Demand</t>
  </si>
  <si>
    <t>Renewable GHG Reduction (excluding GreenPower)</t>
  </si>
  <si>
    <t>Peak Demand (kW)</t>
  </si>
  <si>
    <t>Energy Consumption and Greenhouse Gas Emissions</t>
  </si>
  <si>
    <t>MJ/annum</t>
  </si>
  <si>
    <t>Office Lighting Efficacy</t>
  </si>
  <si>
    <t>Energy/GHG Reduction</t>
  </si>
  <si>
    <t>Peak Demand Reduction</t>
  </si>
  <si>
    <t>Gross Floor Area (m²)</t>
  </si>
  <si>
    <t>District DHW</t>
  </si>
  <si>
    <t>PEAK ELECTRICITY DEMAND REDUCTION</t>
  </si>
  <si>
    <t>Building Envelope</t>
  </si>
  <si>
    <t>kVA</t>
  </si>
  <si>
    <t>Always on, on-site power generation supply</t>
  </si>
  <si>
    <t>Peak demand reduction</t>
  </si>
  <si>
    <t>Building calculated maximum electricity demand as per AS3000</t>
  </si>
  <si>
    <t>This credit is not rewarded using this assessment pathway</t>
  </si>
  <si>
    <t>Reference Building Energy</t>
  </si>
  <si>
    <t>Appliances (Class 2 only)</t>
  </si>
  <si>
    <t>Fill out each individual tab that represents the composition of your mixed use project.</t>
  </si>
  <si>
    <t>Then, allocate the Gross Floor Area of each NCC Class type that are included in your Green Star project and area-weighted points will be calculated</t>
  </si>
  <si>
    <t>Conditional Requirement NABERS Energy for Offices Base Building</t>
  </si>
  <si>
    <t>2.1 NCC Class 5 – Office (DTS NABERS Energy Commitment Agreement)</t>
  </si>
  <si>
    <r>
      <t>1.</t>
    </r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Arial"/>
        <family val="2"/>
      </rPr>
      <t>Deemed-To-Satisfy Pathway</t>
    </r>
  </si>
  <si>
    <t>2.2 NCC Class 2 - Multi Unit Residential (DTS using NatHERS)</t>
  </si>
  <si>
    <t>2.3 NCC Classes 2 to 9 - Reference Building Pathway</t>
  </si>
  <si>
    <t>Mixed-Use Calculation</t>
  </si>
  <si>
    <t>Class 2 - DTS NatHERS</t>
  </si>
  <si>
    <t>Class 5 - DTS NABERS Energy</t>
  </si>
  <si>
    <t>Class 2 to 9 - Reference Building</t>
  </si>
  <si>
    <t>NABERS Energy Reverse Calculator Input and Output</t>
  </si>
  <si>
    <t>NABERS Energy  Rating Calculator Output</t>
  </si>
  <si>
    <t>Class 3 to 9 - DTS NCC Section J1/J2</t>
  </si>
  <si>
    <t>Green Star - Design &amp; As Built</t>
  </si>
  <si>
    <t>Energy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</si>
</sst>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000"/>
    <numFmt numFmtId="166" formatCode="0.0%"/>
  </numFmts>
  <fonts count="3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vertAlign val="subscript"/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b/>
      <sz val="18"/>
      <color theme="1"/>
      <name val="Arial"/>
      <family val="2"/>
    </font>
    <font>
      <b/>
      <sz val="22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auto="1"/>
      </bottom>
      <diagonal/>
    </border>
  </borders>
  <cellStyleXfs count="44">
    <xf numFmtId="0" fontId="0" fillId="0" borderId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13" applyNumberFormat="0" applyAlignment="0" applyProtection="0"/>
    <xf numFmtId="0" fontId="17" fillId="13" borderId="14" applyNumberFormat="0" applyAlignment="0" applyProtection="0"/>
    <xf numFmtId="0" fontId="18" fillId="13" borderId="13" applyNumberFormat="0" applyAlignment="0" applyProtection="0"/>
    <xf numFmtId="0" fontId="19" fillId="0" borderId="15" applyNumberFormat="0" applyFill="0" applyAlignment="0" applyProtection="0"/>
    <xf numFmtId="0" fontId="20" fillId="14" borderId="1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4" fillId="39" borderId="0" applyNumberFormat="0" applyBorder="0" applyAlignment="0" applyProtection="0"/>
    <xf numFmtId="0" fontId="1" fillId="0" borderId="0"/>
    <xf numFmtId="0" fontId="1" fillId="15" borderId="17" applyNumberFormat="0" applyFont="0" applyAlignment="0" applyProtection="0"/>
  </cellStyleXfs>
  <cellXfs count="11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3" xfId="0" applyFill="1" applyBorder="1" applyAlignment="1"/>
    <xf numFmtId="0" fontId="0" fillId="0" borderId="0" xfId="0" applyAlignment="1">
      <alignment horizontal="left" indent="1"/>
    </xf>
    <xf numFmtId="9" fontId="0" fillId="0" borderId="0" xfId="0" applyNumberFormat="1"/>
    <xf numFmtId="164" fontId="0" fillId="3" borderId="1" xfId="0" applyNumberFormat="1" applyFill="1" applyBorder="1"/>
    <xf numFmtId="0" fontId="0" fillId="0" borderId="0" xfId="0" applyAlignment="1">
      <alignment wrapText="1"/>
    </xf>
    <xf numFmtId="3" fontId="0" fillId="2" borderId="1" xfId="0" applyNumberFormat="1" applyFill="1" applyBorder="1"/>
    <xf numFmtId="3" fontId="2" fillId="0" borderId="0" xfId="0" applyNumberFormat="1" applyFont="1"/>
    <xf numFmtId="2" fontId="2" fillId="0" borderId="0" xfId="0" applyNumberFormat="1" applyFont="1"/>
    <xf numFmtId="9" fontId="0" fillId="4" borderId="1" xfId="0" applyNumberFormat="1" applyFill="1" applyBorder="1"/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2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vertical="center"/>
    </xf>
    <xf numFmtId="0" fontId="0" fillId="0" borderId="0" xfId="0" applyAlignment="1">
      <alignment horizontal="left" vertical="center"/>
    </xf>
    <xf numFmtId="9" fontId="0" fillId="4" borderId="1" xfId="0" applyNumberFormat="1" applyFill="1" applyBorder="1" applyAlignment="1">
      <alignment vertical="center"/>
    </xf>
    <xf numFmtId="0" fontId="0" fillId="0" borderId="0" xfId="0" applyAlignment="1">
      <alignment horizontal="left" vertical="center" indent="1"/>
    </xf>
    <xf numFmtId="165" fontId="0" fillId="2" borderId="1" xfId="0" applyNumberFormat="1" applyFill="1" applyBorder="1" applyAlignment="1" applyProtection="1">
      <alignment vertical="center"/>
      <protection locked="0"/>
    </xf>
    <xf numFmtId="164" fontId="0" fillId="2" borderId="1" xfId="0" applyNumberFormat="1" applyFill="1" applyBorder="1" applyAlignment="1" applyProtection="1">
      <alignment vertical="center"/>
      <protection locked="0"/>
    </xf>
    <xf numFmtId="3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2" borderId="1" xfId="0" applyFill="1" applyBorder="1"/>
    <xf numFmtId="0" fontId="0" fillId="0" borderId="0" xfId="0" applyFont="1" applyAlignment="1">
      <alignment vertical="center" wrapText="1"/>
    </xf>
    <xf numFmtId="0" fontId="0" fillId="4" borderId="1" xfId="0" applyFill="1" applyBorder="1"/>
    <xf numFmtId="2" fontId="0" fillId="4" borderId="1" xfId="0" applyNumberFormat="1" applyFill="1" applyBorder="1"/>
    <xf numFmtId="166" fontId="0" fillId="0" borderId="0" xfId="0" applyNumberFormat="1"/>
    <xf numFmtId="0" fontId="0" fillId="0" borderId="0" xfId="0" applyFont="1"/>
    <xf numFmtId="0" fontId="0" fillId="0" borderId="0" xfId="0" applyFont="1" applyAlignment="1">
      <alignment horizontal="left" indent="1"/>
    </xf>
    <xf numFmtId="0" fontId="2" fillId="0" borderId="0" xfId="0" applyFont="1" applyAlignment="1">
      <alignment vertical="center"/>
    </xf>
    <xf numFmtId="0" fontId="0" fillId="2" borderId="1" xfId="0" applyFill="1" applyBorder="1" applyProtection="1">
      <protection locked="0"/>
    </xf>
    <xf numFmtId="0" fontId="0" fillId="3" borderId="1" xfId="0" applyFill="1" applyBorder="1"/>
    <xf numFmtId="0" fontId="0" fillId="0" borderId="1" xfId="0" applyBorder="1"/>
    <xf numFmtId="0" fontId="4" fillId="2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2" fillId="4" borderId="1" xfId="0" applyNumberFormat="1" applyFont="1" applyFill="1" applyBorder="1"/>
    <xf numFmtId="3" fontId="0" fillId="4" borderId="1" xfId="0" applyNumberFormat="1" applyFont="1" applyFill="1" applyBorder="1"/>
    <xf numFmtId="3" fontId="0" fillId="4" borderId="1" xfId="0" applyNumberFormat="1" applyFill="1" applyBorder="1"/>
    <xf numFmtId="9" fontId="0" fillId="4" borderId="1" xfId="1" applyFont="1" applyFill="1" applyBorder="1"/>
    <xf numFmtId="3" fontId="0" fillId="3" borderId="1" xfId="0" applyNumberFormat="1" applyFill="1" applyBorder="1"/>
    <xf numFmtId="0" fontId="2" fillId="0" borderId="5" xfId="0" applyFont="1" applyBorder="1"/>
    <xf numFmtId="0" fontId="2" fillId="6" borderId="2" xfId="0" applyFont="1" applyFill="1" applyBorder="1"/>
    <xf numFmtId="0" fontId="0" fillId="6" borderId="6" xfId="0" applyFill="1" applyBorder="1"/>
    <xf numFmtId="0" fontId="0" fillId="6" borderId="7" xfId="0" applyFill="1" applyBorder="1"/>
    <xf numFmtId="3" fontId="0" fillId="6" borderId="6" xfId="0" applyNumberFormat="1" applyFill="1" applyBorder="1"/>
    <xf numFmtId="3" fontId="2" fillId="0" borderId="1" xfId="0" applyNumberFormat="1" applyFont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0" fontId="0" fillId="7" borderId="1" xfId="0" applyFill="1" applyBorder="1"/>
    <xf numFmtId="0" fontId="2" fillId="8" borderId="1" xfId="0" applyFont="1" applyFill="1" applyBorder="1"/>
    <xf numFmtId="0" fontId="0" fillId="8" borderId="1" xfId="0" applyFill="1" applyBorder="1"/>
    <xf numFmtId="3" fontId="2" fillId="8" borderId="1" xfId="0" applyNumberFormat="1" applyFont="1" applyFill="1" applyBorder="1"/>
    <xf numFmtId="9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>
      <alignment vertical="center"/>
    </xf>
    <xf numFmtId="2" fontId="0" fillId="0" borderId="0" xfId="0" applyNumberFormat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0" fontId="0" fillId="0" borderId="0" xfId="0" applyFill="1" applyBorder="1" applyAlignment="1"/>
    <xf numFmtId="0" fontId="0" fillId="2" borderId="1" xfId="0" applyFill="1" applyBorder="1" applyAlignment="1" applyProtection="1">
      <protection locked="0"/>
    </xf>
    <xf numFmtId="9" fontId="0" fillId="3" borderId="1" xfId="1" applyFont="1" applyFill="1" applyBorder="1"/>
    <xf numFmtId="166" fontId="0" fillId="4" borderId="1" xfId="0" applyNumberFormat="1" applyFill="1" applyBorder="1"/>
    <xf numFmtId="3" fontId="2" fillId="4" borderId="1" xfId="0" applyNumberFormat="1" applyFont="1" applyFill="1" applyBorder="1" applyAlignment="1">
      <alignment horizontal="center"/>
    </xf>
    <xf numFmtId="9" fontId="0" fillId="2" borderId="1" xfId="0" applyNumberFormat="1" applyFill="1" applyBorder="1" applyAlignment="1" applyProtection="1">
      <protection locked="0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3" fontId="0" fillId="2" borderId="1" xfId="0" applyNumberFormat="1" applyFill="1" applyBorder="1" applyAlignment="1" applyProtection="1">
      <protection locked="0"/>
    </xf>
    <xf numFmtId="0" fontId="2" fillId="0" borderId="9" xfId="0" applyFont="1" applyBorder="1"/>
    <xf numFmtId="0" fontId="0" fillId="2" borderId="1" xfId="0" applyFill="1" applyBorder="1" applyAlignment="1" applyProtection="1">
      <alignment wrapText="1"/>
      <protection locked="0"/>
    </xf>
    <xf numFmtId="0" fontId="2" fillId="4" borderId="1" xfId="0" applyFont="1" applyFill="1" applyBorder="1"/>
    <xf numFmtId="0" fontId="0" fillId="0" borderId="0" xfId="0" applyFill="1" applyBorder="1"/>
    <xf numFmtId="0" fontId="2" fillId="0" borderId="0" xfId="0" applyFont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3" fontId="0" fillId="2" borderId="1" xfId="0" applyNumberFormat="1" applyFill="1" applyBorder="1" applyProtection="1">
      <protection locked="0"/>
    </xf>
    <xf numFmtId="3" fontId="4" fillId="2" borderId="1" xfId="0" applyNumberFormat="1" applyFont="1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9" fontId="0" fillId="2" borderId="1" xfId="1" applyFont="1" applyFill="1" applyBorder="1" applyProtection="1">
      <protection locked="0"/>
    </xf>
    <xf numFmtId="0" fontId="3" fillId="0" borderId="0" xfId="42" applyFont="1"/>
    <xf numFmtId="0" fontId="0" fillId="0" borderId="0" xfId="42" applyFont="1"/>
    <xf numFmtId="0" fontId="0" fillId="0" borderId="1" xfId="0" applyFont="1" applyBorder="1"/>
    <xf numFmtId="0" fontId="0" fillId="2" borderId="1" xfId="0" applyFont="1" applyFill="1" applyBorder="1"/>
    <xf numFmtId="0" fontId="0" fillId="3" borderId="1" xfId="0" applyFont="1" applyFill="1" applyBorder="1"/>
    <xf numFmtId="9" fontId="0" fillId="4" borderId="1" xfId="0" applyNumberFormat="1" applyFont="1" applyFill="1" applyBorder="1"/>
    <xf numFmtId="3" fontId="0" fillId="2" borderId="1" xfId="0" applyNumberFormat="1" applyFont="1" applyFill="1" applyBorder="1"/>
    <xf numFmtId="2" fontId="0" fillId="0" borderId="0" xfId="0" applyNumberFormat="1" applyFill="1" applyBorder="1"/>
    <xf numFmtId="2" fontId="0" fillId="0" borderId="0" xfId="0" applyNumberFormat="1"/>
    <xf numFmtId="1" fontId="0" fillId="0" borderId="0" xfId="0" applyNumberFormat="1"/>
    <xf numFmtId="0" fontId="2" fillId="0" borderId="0" xfId="0" applyFont="1" applyFill="1" applyBorder="1"/>
    <xf numFmtId="2" fontId="2" fillId="0" borderId="0" xfId="0" applyNumberFormat="1" applyFont="1" applyFill="1" applyBorder="1"/>
    <xf numFmtId="0" fontId="25" fillId="0" borderId="0" xfId="0" applyFont="1"/>
    <xf numFmtId="0" fontId="0" fillId="0" borderId="0" xfId="0" applyFont="1" applyFill="1" applyBorder="1"/>
    <xf numFmtId="2" fontId="2" fillId="4" borderId="1" xfId="1" applyNumberFormat="1" applyFont="1" applyFill="1" applyBorder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26" fillId="0" borderId="0" xfId="0" applyFont="1"/>
    <xf numFmtId="0" fontId="26" fillId="0" borderId="0" xfId="0" applyFont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0" fillId="0" borderId="0" xfId="0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te 2" xfId="43"/>
    <cellStyle name="Output" xfId="11" builtinId="21" customBuiltin="1"/>
    <cellStyle name="Percent" xfId="1" builtinId="5"/>
    <cellStyle name="Title" xfId="2" builtinId="15" customBuiltin="1"/>
    <cellStyle name="Total" xfId="17" builtinId="25" customBuiltin="1"/>
    <cellStyle name="Warning Text" xfId="15" builtinId="11" customBuiltin="1"/>
  </cellStyles>
  <dxfs count="20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9</xdr:row>
      <xdr:rowOff>171449</xdr:rowOff>
    </xdr:from>
    <xdr:to>
      <xdr:col>13</xdr:col>
      <xdr:colOff>542925</xdr:colOff>
      <xdr:row>13</xdr:row>
      <xdr:rowOff>285749</xdr:rowOff>
    </xdr:to>
    <xdr:sp macro="" textlink="">
      <xdr:nvSpPr>
        <xdr:cNvPr id="2" name="TextBox 1"/>
        <xdr:cNvSpPr txBox="1"/>
      </xdr:nvSpPr>
      <xdr:spPr>
        <a:xfrm rot="20565165">
          <a:off x="4933950" y="1600199"/>
          <a:ext cx="640080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600">
              <a:solidFill>
                <a:schemeClr val="bg1">
                  <a:lumMod val="75000"/>
                </a:schemeClr>
              </a:solidFill>
            </a:rPr>
            <a:t>DRAFT</a:t>
          </a:r>
          <a:r>
            <a:rPr lang="en-AU" sz="6600" baseline="0">
              <a:solidFill>
                <a:schemeClr val="bg1">
                  <a:lumMod val="75000"/>
                </a:schemeClr>
              </a:solidFill>
            </a:rPr>
            <a:t> CONTENT</a:t>
          </a:r>
          <a:endParaRPr lang="en-AU" sz="66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6</xdr:row>
      <xdr:rowOff>19050</xdr:rowOff>
    </xdr:from>
    <xdr:to>
      <xdr:col>17</xdr:col>
      <xdr:colOff>552450</xdr:colOff>
      <xdr:row>12</xdr:row>
      <xdr:rowOff>295275</xdr:rowOff>
    </xdr:to>
    <xdr:sp macro="" textlink="">
      <xdr:nvSpPr>
        <xdr:cNvPr id="2" name="TextBox 1"/>
        <xdr:cNvSpPr txBox="1"/>
      </xdr:nvSpPr>
      <xdr:spPr>
        <a:xfrm rot="20565165">
          <a:off x="5372100" y="1190625"/>
          <a:ext cx="640080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600">
              <a:solidFill>
                <a:schemeClr val="bg1">
                  <a:lumMod val="75000"/>
                </a:schemeClr>
              </a:solidFill>
            </a:rPr>
            <a:t>DRAFT</a:t>
          </a:r>
          <a:r>
            <a:rPr lang="en-AU" sz="6600" baseline="0">
              <a:solidFill>
                <a:schemeClr val="bg1">
                  <a:lumMod val="75000"/>
                </a:schemeClr>
              </a:solidFill>
            </a:rPr>
            <a:t> CONTENT</a:t>
          </a:r>
          <a:endParaRPr lang="en-AU" sz="66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485774</xdr:colOff>
      <xdr:row>5</xdr:row>
      <xdr:rowOff>139801</xdr:rowOff>
    </xdr:from>
    <xdr:to>
      <xdr:col>14</xdr:col>
      <xdr:colOff>180974</xdr:colOff>
      <xdr:row>13</xdr:row>
      <xdr:rowOff>92176</xdr:rowOff>
    </xdr:to>
    <xdr:sp macro="" textlink="">
      <xdr:nvSpPr>
        <xdr:cNvPr id="2" name="TextBox 1"/>
        <xdr:cNvSpPr txBox="1"/>
      </xdr:nvSpPr>
      <xdr:spPr>
        <a:xfrm rot="20565165">
          <a:off x="4772024" y="920851"/>
          <a:ext cx="640080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600">
              <a:solidFill>
                <a:schemeClr val="bg1">
                  <a:lumMod val="75000"/>
                </a:schemeClr>
              </a:solidFill>
            </a:rPr>
            <a:t>DRAFT</a:t>
          </a:r>
          <a:r>
            <a:rPr lang="en-AU" sz="6600" baseline="0">
              <a:solidFill>
                <a:schemeClr val="bg1">
                  <a:lumMod val="75000"/>
                </a:schemeClr>
              </a:solidFill>
            </a:rPr>
            <a:t> CONTENT</a:t>
          </a:r>
          <a:endParaRPr lang="en-AU" sz="66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104776</xdr:colOff>
      <xdr:row>5</xdr:row>
      <xdr:rowOff>133350</xdr:rowOff>
    </xdr:from>
    <xdr:to>
      <xdr:col>11</xdr:col>
      <xdr:colOff>400051</xdr:colOff>
      <xdr:row>12</xdr:row>
      <xdr:rowOff>19050</xdr:rowOff>
    </xdr:to>
    <xdr:sp macro="" textlink="">
      <xdr:nvSpPr>
        <xdr:cNvPr id="2" name="TextBox 1"/>
        <xdr:cNvSpPr txBox="1"/>
      </xdr:nvSpPr>
      <xdr:spPr>
        <a:xfrm rot="20565165">
          <a:off x="5505451" y="1009650"/>
          <a:ext cx="640080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600">
              <a:solidFill>
                <a:schemeClr val="bg1">
                  <a:lumMod val="75000"/>
                </a:schemeClr>
              </a:solidFill>
            </a:rPr>
            <a:t>DRAFT</a:t>
          </a:r>
          <a:r>
            <a:rPr lang="en-AU" sz="6600" baseline="0">
              <a:solidFill>
                <a:schemeClr val="bg1">
                  <a:lumMod val="75000"/>
                </a:schemeClr>
              </a:solidFill>
            </a:rPr>
            <a:t> CONTENT</a:t>
          </a:r>
          <a:endParaRPr lang="en-AU" sz="66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762000</xdr:colOff>
      <xdr:row>13</xdr:row>
      <xdr:rowOff>152400</xdr:rowOff>
    </xdr:from>
    <xdr:to>
      <xdr:col>15</xdr:col>
      <xdr:colOff>495300</xdr:colOff>
      <xdr:row>21</xdr:row>
      <xdr:rowOff>104775</xdr:rowOff>
    </xdr:to>
    <xdr:sp macro="" textlink="">
      <xdr:nvSpPr>
        <xdr:cNvPr id="2" name="TextBox 1"/>
        <xdr:cNvSpPr txBox="1"/>
      </xdr:nvSpPr>
      <xdr:spPr>
        <a:xfrm rot="20565165">
          <a:off x="5048250" y="2390775"/>
          <a:ext cx="640080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600">
              <a:solidFill>
                <a:schemeClr val="bg1">
                  <a:lumMod val="75000"/>
                </a:schemeClr>
              </a:solidFill>
            </a:rPr>
            <a:t>DRAFT</a:t>
          </a:r>
          <a:r>
            <a:rPr lang="en-AU" sz="6600" baseline="0">
              <a:solidFill>
                <a:schemeClr val="bg1">
                  <a:lumMod val="75000"/>
                </a:schemeClr>
              </a:solidFill>
            </a:rPr>
            <a:t> CONTENT</a:t>
          </a:r>
          <a:endParaRPr lang="en-AU" sz="66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1552576</xdr:colOff>
      <xdr:row>16</xdr:row>
      <xdr:rowOff>123824</xdr:rowOff>
    </xdr:from>
    <xdr:to>
      <xdr:col>5</xdr:col>
      <xdr:colOff>447676</xdr:colOff>
      <xdr:row>24</xdr:row>
      <xdr:rowOff>76199</xdr:rowOff>
    </xdr:to>
    <xdr:sp macro="" textlink="">
      <xdr:nvSpPr>
        <xdr:cNvPr id="2" name="TextBox 1"/>
        <xdr:cNvSpPr txBox="1"/>
      </xdr:nvSpPr>
      <xdr:spPr>
        <a:xfrm rot="20565165">
          <a:off x="1647826" y="2666999"/>
          <a:ext cx="6400800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6600">
              <a:solidFill>
                <a:schemeClr val="bg1">
                  <a:lumMod val="75000"/>
                </a:schemeClr>
              </a:solidFill>
            </a:rPr>
            <a:t>DRAFT</a:t>
          </a:r>
          <a:r>
            <a:rPr lang="en-AU" sz="6600" baseline="0">
              <a:solidFill>
                <a:schemeClr val="bg1">
                  <a:lumMod val="75000"/>
                </a:schemeClr>
              </a:solidFill>
            </a:rPr>
            <a:t> CONTENT</a:t>
          </a:r>
          <a:endParaRPr lang="en-AU" sz="66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C7" sqref="C7"/>
    </sheetView>
  </sheetViews>
  <sheetFormatPr defaultRowHeight="12.75" x14ac:dyDescent="0.2"/>
  <cols>
    <col min="1" max="1" width="1.42578125" customWidth="1"/>
    <col min="2" max="2" width="56.42578125" customWidth="1"/>
    <col min="3" max="3" width="12.5703125" customWidth="1"/>
  </cols>
  <sheetData>
    <row r="1" spans="1:3" ht="27.75" x14ac:dyDescent="0.4">
      <c r="A1" s="98"/>
      <c r="B1" s="99" t="s">
        <v>285</v>
      </c>
      <c r="C1" s="98"/>
    </row>
    <row r="2" spans="1:3" ht="27.75" x14ac:dyDescent="0.4">
      <c r="A2" s="98"/>
      <c r="B2" s="99" t="s">
        <v>286</v>
      </c>
      <c r="C2" s="98"/>
    </row>
    <row r="3" spans="1:3" ht="7.5" customHeight="1" x14ac:dyDescent="0.2"/>
    <row r="4" spans="1:3" ht="15.75" x14ac:dyDescent="0.2">
      <c r="B4" s="95" t="s">
        <v>275</v>
      </c>
    </row>
    <row r="5" spans="1:3" x14ac:dyDescent="0.2">
      <c r="B5" s="1" t="s">
        <v>263</v>
      </c>
    </row>
    <row r="6" spans="1:3" x14ac:dyDescent="0.2">
      <c r="B6" s="91" t="s">
        <v>188</v>
      </c>
    </row>
    <row r="7" spans="1:3" ht="25.5" x14ac:dyDescent="0.2">
      <c r="B7" s="23" t="s">
        <v>195</v>
      </c>
      <c r="C7" s="33"/>
    </row>
    <row r="8" spans="1:3" x14ac:dyDescent="0.2">
      <c r="B8" s="91" t="s">
        <v>189</v>
      </c>
    </row>
    <row r="9" spans="1:3" ht="25.5" x14ac:dyDescent="0.2">
      <c r="B9" s="74" t="s">
        <v>197</v>
      </c>
      <c r="C9" s="33"/>
    </row>
    <row r="10" spans="1:3" ht="25.5" x14ac:dyDescent="0.2">
      <c r="B10" s="74" t="s">
        <v>198</v>
      </c>
      <c r="C10" s="33"/>
    </row>
    <row r="11" spans="1:3" x14ac:dyDescent="0.2">
      <c r="B11" s="73" t="s">
        <v>18</v>
      </c>
    </row>
    <row r="12" spans="1:3" ht="25.5" x14ac:dyDescent="0.2">
      <c r="B12" s="23" t="s">
        <v>199</v>
      </c>
      <c r="C12" s="33"/>
    </row>
    <row r="13" spans="1:3" ht="25.5" x14ac:dyDescent="0.2">
      <c r="B13" s="74" t="s">
        <v>190</v>
      </c>
      <c r="C13" s="33"/>
    </row>
    <row r="14" spans="1:3" ht="25.5" x14ac:dyDescent="0.2">
      <c r="B14" s="74" t="s">
        <v>191</v>
      </c>
      <c r="C14" s="33"/>
    </row>
    <row r="15" spans="1:3" x14ac:dyDescent="0.2">
      <c r="B15" s="73" t="s">
        <v>16</v>
      </c>
    </row>
    <row r="16" spans="1:3" ht="25.5" x14ac:dyDescent="0.2">
      <c r="B16" s="74" t="s">
        <v>200</v>
      </c>
      <c r="C16" s="33"/>
    </row>
    <row r="17" spans="2:3" ht="25.5" x14ac:dyDescent="0.2">
      <c r="B17" s="74" t="s">
        <v>201</v>
      </c>
      <c r="C17" s="33"/>
    </row>
    <row r="18" spans="2:3" ht="25.5" x14ac:dyDescent="0.2">
      <c r="B18" s="74" t="s">
        <v>202</v>
      </c>
      <c r="C18" s="33"/>
    </row>
    <row r="19" spans="2:3" ht="38.25" x14ac:dyDescent="0.2">
      <c r="B19" s="74" t="s">
        <v>203</v>
      </c>
      <c r="C19" s="33"/>
    </row>
    <row r="20" spans="2:3" x14ac:dyDescent="0.2">
      <c r="B20" s="73" t="s">
        <v>181</v>
      </c>
    </row>
    <row r="21" spans="2:3" ht="38.25" x14ac:dyDescent="0.2">
      <c r="B21" s="74" t="s">
        <v>192</v>
      </c>
      <c r="C21" s="33"/>
    </row>
    <row r="22" spans="2:3" x14ac:dyDescent="0.2">
      <c r="B22" s="74" t="s">
        <v>193</v>
      </c>
      <c r="C22" s="33"/>
    </row>
    <row r="24" spans="2:3" x14ac:dyDescent="0.2">
      <c r="B24" s="1" t="s">
        <v>75</v>
      </c>
    </row>
    <row r="25" spans="2:3" x14ac:dyDescent="0.2">
      <c r="B25" s="4" t="s">
        <v>188</v>
      </c>
      <c r="C25" s="27">
        <f>IF(C7="Yes",1,0)</f>
        <v>0</v>
      </c>
    </row>
    <row r="26" spans="2:3" x14ac:dyDescent="0.2">
      <c r="B26" s="4" t="s">
        <v>189</v>
      </c>
      <c r="C26" s="27">
        <f>IF(AND(C9="Yes",C10="Yes"),1,0)</f>
        <v>0</v>
      </c>
    </row>
    <row r="27" spans="2:3" x14ac:dyDescent="0.2">
      <c r="B27" s="4" t="s">
        <v>18</v>
      </c>
      <c r="C27" s="27">
        <f>IF(C14="NA",IF(AND(C12="Yes",C13="Yes"),1,0),IF(AND(C12="Yes",C13="Yes",C14="Yes"),1,0))</f>
        <v>0</v>
      </c>
    </row>
    <row r="28" spans="2:3" x14ac:dyDescent="0.2">
      <c r="B28" s="4" t="s">
        <v>16</v>
      </c>
      <c r="C28" s="27">
        <f>IF(COUNTIF(C16:C19,"&lt;&gt;NA")&lt;&gt;0,IF(COUNTIF(C16:C19,"Yes")=COUNTIF(C16:C19,"&lt;&gt;NA"),1,0),0)</f>
        <v>0</v>
      </c>
    </row>
    <row r="29" spans="2:3" x14ac:dyDescent="0.2">
      <c r="B29" s="4" t="s">
        <v>181</v>
      </c>
      <c r="C29" s="27">
        <f>IF(COUNTIF(C21:C22,"&lt;&gt;NA")&lt;&gt;0,IF(COUNTIF(C21:C22,"Yes")=COUNTIF(C21:C22,"&lt;&gt;NA"),1,0),0)</f>
        <v>0</v>
      </c>
    </row>
    <row r="30" spans="2:3" x14ac:dyDescent="0.2">
      <c r="B30" s="1" t="s">
        <v>59</v>
      </c>
      <c r="C30" s="70">
        <f>SUM(C25:C29)</f>
        <v>0</v>
      </c>
    </row>
    <row r="31" spans="2:3" x14ac:dyDescent="0.2">
      <c r="B31" s="1" t="s">
        <v>194</v>
      </c>
      <c r="C31" s="70">
        <v>5</v>
      </c>
    </row>
    <row r="34" spans="2:5" x14ac:dyDescent="0.2">
      <c r="B34" s="1" t="s">
        <v>262</v>
      </c>
    </row>
    <row r="35" spans="2:5" x14ac:dyDescent="0.2">
      <c r="B35" s="71" t="s">
        <v>267</v>
      </c>
      <c r="C35" s="25"/>
      <c r="D35" t="s">
        <v>264</v>
      </c>
    </row>
    <row r="36" spans="2:5" x14ac:dyDescent="0.2">
      <c r="B36" s="92" t="s">
        <v>265</v>
      </c>
      <c r="C36" s="25"/>
      <c r="D36" t="s">
        <v>264</v>
      </c>
    </row>
    <row r="38" spans="2:5" x14ac:dyDescent="0.2">
      <c r="B38" t="s">
        <v>266</v>
      </c>
      <c r="C38" s="41">
        <f>IFERROR(C36/C35,0)</f>
        <v>0</v>
      </c>
    </row>
    <row r="40" spans="2:5" x14ac:dyDescent="0.2">
      <c r="B40" s="1" t="s">
        <v>75</v>
      </c>
    </row>
    <row r="41" spans="2:5" x14ac:dyDescent="0.2">
      <c r="B41" s="1" t="s">
        <v>59</v>
      </c>
      <c r="C41" s="93">
        <f>IF(C38&gt;E41,C42,0)</f>
        <v>0</v>
      </c>
      <c r="E41" s="5">
        <v>0.2</v>
      </c>
    </row>
    <row r="42" spans="2:5" x14ac:dyDescent="0.2">
      <c r="B42" s="1" t="s">
        <v>194</v>
      </c>
      <c r="C42" s="93">
        <v>1</v>
      </c>
    </row>
  </sheetData>
  <sheetProtection password="E6B1" sheet="1" objects="1" scenarios="1"/>
  <dataValidations count="2">
    <dataValidation type="list" allowBlank="1" showInputMessage="1" showErrorMessage="1" sqref="C21:C22 C16:C19 C14">
      <formula1>OptionNA</formula1>
    </dataValidation>
    <dataValidation type="list" allowBlank="1" showInputMessage="1" showErrorMessage="1" sqref="C12:C13 C9:C10 C7">
      <formula1>Option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zoomScaleNormal="100" workbookViewId="0">
      <selection activeCell="G5" sqref="G5"/>
    </sheetView>
  </sheetViews>
  <sheetFormatPr defaultRowHeight="12.75" x14ac:dyDescent="0.2"/>
  <cols>
    <col min="1" max="1" width="1.42578125" style="2" customWidth="1"/>
    <col min="2" max="5" width="9.140625" style="2"/>
    <col min="6" max="6" width="23.85546875" style="2" customWidth="1"/>
    <col min="7" max="7" width="12" style="2" customWidth="1"/>
    <col min="8" max="8" width="12.140625" style="2" bestFit="1" customWidth="1"/>
    <col min="9" max="16384" width="9.140625" style="2"/>
  </cols>
  <sheetData>
    <row r="1" spans="2:9" ht="7.5" customHeight="1" x14ac:dyDescent="0.2"/>
    <row r="2" spans="2:9" ht="21" customHeight="1" x14ac:dyDescent="0.2">
      <c r="B2" s="94" t="s">
        <v>274</v>
      </c>
    </row>
    <row r="3" spans="2:9" ht="25.5" customHeight="1" x14ac:dyDescent="0.2">
      <c r="B3" s="102" t="s">
        <v>273</v>
      </c>
      <c r="C3" s="102"/>
      <c r="D3" s="102"/>
      <c r="E3" s="102"/>
      <c r="F3" s="103"/>
      <c r="G3" s="15">
        <v>4.5</v>
      </c>
      <c r="H3" s="2" t="s">
        <v>2</v>
      </c>
    </row>
    <row r="5" spans="2:9" x14ac:dyDescent="0.2">
      <c r="B5" s="2" t="s">
        <v>131</v>
      </c>
      <c r="G5" s="21"/>
      <c r="H5" s="2" t="s">
        <v>52</v>
      </c>
    </row>
    <row r="6" spans="2:9" x14ac:dyDescent="0.2">
      <c r="B6" s="2" t="s">
        <v>132</v>
      </c>
      <c r="G6" s="21"/>
      <c r="H6" s="2" t="s">
        <v>52</v>
      </c>
    </row>
    <row r="7" spans="2:9" x14ac:dyDescent="0.2">
      <c r="B7" s="2" t="s">
        <v>133</v>
      </c>
      <c r="G7" s="55" t="str">
        <f>IFERROR(G6/G5,"")</f>
        <v/>
      </c>
    </row>
    <row r="8" spans="2:9" x14ac:dyDescent="0.2">
      <c r="G8" s="2" t="str">
        <f>IF(G7&lt;0.8,"Assessed area is less than 80% of total; non-NABERS area must be assessed using one of the other assessment pathways","")</f>
        <v/>
      </c>
    </row>
    <row r="9" spans="2:9" x14ac:dyDescent="0.2">
      <c r="B9" s="2" t="s">
        <v>282</v>
      </c>
    </row>
    <row r="10" spans="2:9" x14ac:dyDescent="0.2">
      <c r="B10" s="18" t="s">
        <v>50</v>
      </c>
      <c r="C10" s="18"/>
      <c r="D10" s="18"/>
      <c r="E10" s="18"/>
      <c r="F10" s="18"/>
      <c r="G10" s="19"/>
    </row>
    <row r="11" spans="2:9" x14ac:dyDescent="0.2">
      <c r="B11" s="18" t="s">
        <v>53</v>
      </c>
      <c r="C11" s="18"/>
      <c r="D11" s="18"/>
      <c r="E11" s="18"/>
      <c r="F11" s="18"/>
      <c r="G11" s="20"/>
      <c r="H11" s="2" t="s">
        <v>54</v>
      </c>
    </row>
    <row r="12" spans="2:9" x14ac:dyDescent="0.2">
      <c r="B12" s="18" t="s">
        <v>51</v>
      </c>
      <c r="C12" s="18"/>
      <c r="D12" s="18"/>
      <c r="E12" s="18"/>
      <c r="F12" s="18"/>
      <c r="G12" s="21"/>
      <c r="H12" s="2" t="s">
        <v>52</v>
      </c>
    </row>
    <row r="13" spans="2:9" ht="25.5" customHeight="1" x14ac:dyDescent="0.2">
      <c r="B13" s="100" t="s">
        <v>63</v>
      </c>
      <c r="C13" s="100"/>
      <c r="D13" s="100"/>
      <c r="E13" s="100"/>
      <c r="F13" s="101"/>
      <c r="G13" s="21"/>
      <c r="H13" s="2" t="s">
        <v>55</v>
      </c>
      <c r="I13" s="65"/>
    </row>
    <row r="15" spans="2:9" x14ac:dyDescent="0.2">
      <c r="B15" s="16" t="s">
        <v>283</v>
      </c>
    </row>
    <row r="16" spans="2:9" x14ac:dyDescent="0.2">
      <c r="B16" s="18" t="s">
        <v>62</v>
      </c>
      <c r="G16" s="21"/>
      <c r="H16" s="2" t="s">
        <v>55</v>
      </c>
    </row>
    <row r="18" spans="2:11" x14ac:dyDescent="0.2">
      <c r="B18" s="2" t="s">
        <v>61</v>
      </c>
      <c r="G18" s="17">
        <f>IFERROR(IF(ISBLANK(G16)=TRUE,0,MIN(MAX((G13-G16)/G13,0),1)),"")</f>
        <v>0</v>
      </c>
    </row>
    <row r="19" spans="2:11" x14ac:dyDescent="0.2">
      <c r="J19" s="2" t="s">
        <v>159</v>
      </c>
      <c r="K19" s="2" t="s">
        <v>160</v>
      </c>
    </row>
    <row r="20" spans="2:11" x14ac:dyDescent="0.2">
      <c r="B20" s="2" t="s">
        <v>257</v>
      </c>
      <c r="G20" s="22"/>
      <c r="H20" s="2" t="s">
        <v>64</v>
      </c>
      <c r="J20" s="2">
        <v>2.2000000000000002</v>
      </c>
      <c r="K20" s="2">
        <v>1.2</v>
      </c>
    </row>
    <row r="23" spans="2:11" x14ac:dyDescent="0.2">
      <c r="B23" s="1" t="s">
        <v>75</v>
      </c>
    </row>
    <row r="24" spans="2:11" x14ac:dyDescent="0.2">
      <c r="B24" s="18" t="s">
        <v>158</v>
      </c>
      <c r="G24" s="56">
        <f>IFERROR(G18*H24,"")</f>
        <v>0</v>
      </c>
      <c r="H24" s="57">
        <f>IFERROR(I24/SUM($I$24:$I$25)*G27,0)</f>
        <v>0</v>
      </c>
      <c r="I24" s="57">
        <f>IFERROR((0.28*'Path 2.3 Class2-9 Ref. Building'!E80+0.625*'Path 2.3 Class2-9 Ref. Building'!E86)*IF(G7&lt;0.8,1,G7),0)</f>
        <v>0</v>
      </c>
    </row>
    <row r="25" spans="2:11" x14ac:dyDescent="0.2">
      <c r="B25" s="18" t="s">
        <v>76</v>
      </c>
      <c r="G25" s="56">
        <f>IFERROR(MIN(MAX(0,(J20*H25)/(J20-K20)-(G20*H25)/(J20-K20)),H25),"")</f>
        <v>0</v>
      </c>
      <c r="H25" s="57">
        <f>IFERROR(I25/SUM($I$24:$I$25)*G27,0)</f>
        <v>0</v>
      </c>
      <c r="I25" s="57">
        <f>IFERROR((0.2*0.5*'Path 2.3 Class2-9 Ref. Building'!E80+0.25*0.5*'Path 2.3 Class2-9 Ref. Building'!E86)*IF(G7&lt;0.8,1,G7),0)</f>
        <v>0</v>
      </c>
    </row>
    <row r="26" spans="2:11" x14ac:dyDescent="0.2">
      <c r="B26" s="32" t="s">
        <v>59</v>
      </c>
      <c r="G26" s="58">
        <f>SUM(G24:G25)</f>
        <v>0</v>
      </c>
    </row>
    <row r="27" spans="2:11" x14ac:dyDescent="0.2">
      <c r="B27" s="32" t="s">
        <v>71</v>
      </c>
      <c r="G27" s="58">
        <v>12</v>
      </c>
    </row>
    <row r="30" spans="2:11" x14ac:dyDescent="0.2">
      <c r="B30" s="1" t="s">
        <v>262</v>
      </c>
      <c r="C30"/>
      <c r="D30"/>
      <c r="E30"/>
    </row>
    <row r="31" spans="2:11" ht="12.75" customHeight="1" x14ac:dyDescent="0.2">
      <c r="B31" s="71" t="s">
        <v>268</v>
      </c>
    </row>
    <row r="32" spans="2:11" x14ac:dyDescent="0.2">
      <c r="B32"/>
    </row>
    <row r="33" spans="2:7" x14ac:dyDescent="0.2">
      <c r="B33" s="1" t="s">
        <v>75</v>
      </c>
    </row>
    <row r="34" spans="2:7" x14ac:dyDescent="0.2">
      <c r="B34" s="1" t="s">
        <v>59</v>
      </c>
      <c r="G34" s="58">
        <v>0</v>
      </c>
    </row>
    <row r="35" spans="2:7" x14ac:dyDescent="0.2">
      <c r="B35" s="1" t="s">
        <v>194</v>
      </c>
      <c r="G35" s="58">
        <v>0</v>
      </c>
    </row>
  </sheetData>
  <sheetProtection password="E6B1" sheet="1" objects="1" scenarios="1"/>
  <mergeCells count="2">
    <mergeCell ref="B13:F13"/>
    <mergeCell ref="B3:F3"/>
  </mergeCells>
  <dataValidations count="1">
    <dataValidation type="decimal" allowBlank="1" showInputMessage="1" showErrorMessage="1" sqref="G20">
      <formula1>0</formula1>
      <formula2>10</formula2>
    </dataValidation>
  </dataValidations>
  <pageMargins left="0.7" right="0.7" top="0.75" bottom="0.75" header="0.3" footer="0.3"/>
  <pageSetup paperSize="2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69"/>
  <sheetViews>
    <sheetView zoomScaleNormal="100" workbookViewId="0">
      <selection activeCell="C3" sqref="C3"/>
    </sheetView>
  </sheetViews>
  <sheetFormatPr defaultRowHeight="12.75" x14ac:dyDescent="0.2"/>
  <cols>
    <col min="1" max="1" width="1.42578125" customWidth="1"/>
    <col min="2" max="2" width="45.42578125" customWidth="1"/>
    <col min="3" max="3" width="17.42578125" bestFit="1" customWidth="1"/>
    <col min="7" max="28" width="9.140625" customWidth="1"/>
  </cols>
  <sheetData>
    <row r="1" spans="2:4" ht="7.5" customHeight="1" x14ac:dyDescent="0.2"/>
    <row r="2" spans="2:4" ht="15.75" x14ac:dyDescent="0.25">
      <c r="B2" s="96" t="s">
        <v>276</v>
      </c>
    </row>
    <row r="3" spans="2:4" x14ac:dyDescent="0.2">
      <c r="B3" t="s">
        <v>0</v>
      </c>
      <c r="C3" s="12"/>
      <c r="D3" t="s">
        <v>2</v>
      </c>
    </row>
    <row r="4" spans="2:4" x14ac:dyDescent="0.2">
      <c r="B4" t="s">
        <v>1</v>
      </c>
      <c r="C4" s="12"/>
      <c r="D4" t="s">
        <v>2</v>
      </c>
    </row>
    <row r="6" spans="2:4" x14ac:dyDescent="0.2">
      <c r="B6" t="s">
        <v>3</v>
      </c>
      <c r="C6" s="6" t="str">
        <f>IF(ISBLANK(C3)=TRUE,"",C3+0.5)</f>
        <v/>
      </c>
      <c r="D6" t="s">
        <v>2</v>
      </c>
    </row>
    <row r="7" spans="2:4" x14ac:dyDescent="0.2">
      <c r="B7" t="s">
        <v>4</v>
      </c>
      <c r="C7" s="6" t="str">
        <f>IF(ISBLANK(C4)=TRUE,"",C4+0.5)</f>
        <v/>
      </c>
      <c r="D7" t="s">
        <v>2</v>
      </c>
    </row>
    <row r="9" spans="2:4" x14ac:dyDescent="0.2">
      <c r="B9" t="s">
        <v>6</v>
      </c>
      <c r="C9" s="13"/>
      <c r="D9" s="3"/>
    </row>
    <row r="10" spans="2:4" x14ac:dyDescent="0.2">
      <c r="B10" t="s">
        <v>134</v>
      </c>
      <c r="C10" s="60"/>
      <c r="D10" s="59"/>
    </row>
    <row r="11" spans="2:4" x14ac:dyDescent="0.2">
      <c r="B11" t="s">
        <v>139</v>
      </c>
      <c r="C11" s="64"/>
      <c r="D11" s="59"/>
    </row>
    <row r="12" spans="2:4" x14ac:dyDescent="0.2">
      <c r="B12" t="s">
        <v>163</v>
      </c>
      <c r="C12" s="67"/>
      <c r="D12" s="59"/>
    </row>
    <row r="14" spans="2:4" x14ac:dyDescent="0.2">
      <c r="B14" t="s">
        <v>7</v>
      </c>
      <c r="C14" s="6" t="str">
        <f>IFERROR(VLOOKUP($C$9,References!$B$4:$W$72,C6/0.5+2,FALSE),"")</f>
        <v/>
      </c>
      <c r="D14" t="s">
        <v>10</v>
      </c>
    </row>
    <row r="15" spans="2:4" x14ac:dyDescent="0.2">
      <c r="B15" t="s">
        <v>8</v>
      </c>
      <c r="C15" s="6" t="str">
        <f>IFERROR(VLOOKUP($C$9,References!$B$4:$W$72,C7/0.5+2,FALSE),"")</f>
        <v/>
      </c>
      <c r="D15" t="s">
        <v>10</v>
      </c>
    </row>
    <row r="16" spans="2:4" x14ac:dyDescent="0.2">
      <c r="B16" t="s">
        <v>9</v>
      </c>
      <c r="C16" s="6" t="str">
        <f>IFERROR(VLOOKUP($C$9,References!$B$4:$W$72,22,FALSE),"")</f>
        <v/>
      </c>
      <c r="D16" t="s">
        <v>10</v>
      </c>
    </row>
    <row r="18" spans="2:6" x14ac:dyDescent="0.2">
      <c r="B18" t="s">
        <v>11</v>
      </c>
      <c r="C18" s="12"/>
      <c r="D18" t="s">
        <v>10</v>
      </c>
    </row>
    <row r="19" spans="2:6" x14ac:dyDescent="0.2">
      <c r="B19" t="s">
        <v>12</v>
      </c>
      <c r="C19" s="12"/>
      <c r="D19" t="s">
        <v>10</v>
      </c>
    </row>
    <row r="21" spans="2:6" x14ac:dyDescent="0.2">
      <c r="B21" t="s">
        <v>13</v>
      </c>
    </row>
    <row r="22" spans="2:6" x14ac:dyDescent="0.2">
      <c r="B22" s="4" t="s">
        <v>14</v>
      </c>
      <c r="C22" s="14" t="str">
        <f>IF(ISBLANK(C18)=TRUE,"",IF(C18&lt;=C14,"PASS","FAIL"))</f>
        <v/>
      </c>
    </row>
    <row r="23" spans="2:6" x14ac:dyDescent="0.2">
      <c r="B23" s="4" t="s">
        <v>15</v>
      </c>
      <c r="C23" s="14" t="str">
        <f>IF(ISBLANK(C19)=TRUE,"",IF(C19&lt;=C15,"PASS","FAIL"))</f>
        <v/>
      </c>
    </row>
    <row r="25" spans="2:6" x14ac:dyDescent="0.2">
      <c r="B25" t="s">
        <v>61</v>
      </c>
      <c r="C25" s="11">
        <f>IFERROR(IF(ISBLANK(C18)=TRUE,0,MIN(MAX(1-(C18-C16)/(C14-C16),0),1)),0)</f>
        <v>0</v>
      </c>
    </row>
    <row r="27" spans="2:6" x14ac:dyDescent="0.2">
      <c r="B27" s="1" t="s">
        <v>17</v>
      </c>
    </row>
    <row r="28" spans="2:6" x14ac:dyDescent="0.2">
      <c r="B28" s="1" t="s">
        <v>18</v>
      </c>
      <c r="E28">
        <v>3</v>
      </c>
      <c r="F28" s="29">
        <v>7.4999999999999997E-2</v>
      </c>
    </row>
    <row r="29" spans="2:6" ht="51" x14ac:dyDescent="0.2">
      <c r="B29" s="23" t="s">
        <v>183</v>
      </c>
      <c r="C29" s="25"/>
      <c r="E29">
        <f>IF(C29="Yes",1,0)</f>
        <v>0</v>
      </c>
    </row>
    <row r="30" spans="2:6" ht="38.25" x14ac:dyDescent="0.2">
      <c r="B30" s="23" t="s">
        <v>184</v>
      </c>
      <c r="C30" s="25"/>
      <c r="E30">
        <f t="shared" ref="E30:E31" si="0">IF(C30="Yes",1,0)</f>
        <v>0</v>
      </c>
    </row>
    <row r="31" spans="2:6" ht="25.5" customHeight="1" x14ac:dyDescent="0.2">
      <c r="B31" s="24" t="s">
        <v>46</v>
      </c>
      <c r="C31" s="25"/>
      <c r="E31">
        <f t="shared" si="0"/>
        <v>0</v>
      </c>
    </row>
    <row r="32" spans="2:6" x14ac:dyDescent="0.2">
      <c r="B32" s="1" t="s">
        <v>16</v>
      </c>
      <c r="E32">
        <v>9</v>
      </c>
      <c r="F32" s="5">
        <f>0.6-F48</f>
        <v>0.54999999999999993</v>
      </c>
    </row>
    <row r="33" spans="2:7" x14ac:dyDescent="0.2">
      <c r="B33" s="23" t="s">
        <v>49</v>
      </c>
      <c r="C33" s="25"/>
      <c r="D33" t="s">
        <v>2</v>
      </c>
      <c r="E33">
        <f>IF(C33&gt;=5,3,IF(C33&gt;=4,2,IF(C33&gt;=3,1,0)))</f>
        <v>0</v>
      </c>
    </row>
    <row r="34" spans="2:7" ht="25.5" customHeight="1" x14ac:dyDescent="0.2">
      <c r="B34" s="23" t="s">
        <v>47</v>
      </c>
      <c r="C34" s="25"/>
      <c r="E34">
        <f>IF(C34="Yes",1,0)</f>
        <v>0</v>
      </c>
    </row>
    <row r="35" spans="2:7" x14ac:dyDescent="0.2">
      <c r="B35" s="23" t="s">
        <v>137</v>
      </c>
      <c r="C35" s="27" t="str">
        <f>IF(ISBLANK(C10)=TRUE,"",IF(C10="Natural Ventilation","No","Yes"))</f>
        <v/>
      </c>
      <c r="E35" t="s">
        <v>138</v>
      </c>
      <c r="F35" t="s">
        <v>140</v>
      </c>
      <c r="G35" t="s">
        <v>141</v>
      </c>
    </row>
    <row r="36" spans="2:7" x14ac:dyDescent="0.2">
      <c r="B36" s="23" t="s">
        <v>48</v>
      </c>
      <c r="C36" s="25"/>
      <c r="D36" t="s">
        <v>2</v>
      </c>
      <c r="E36">
        <f>IF($C$10="Mixed",$C$11*G36+(1-$C$11)*F36,IF($C$10="Natural Ventilation",G36,F36))</f>
        <v>0</v>
      </c>
      <c r="F36">
        <f>IF(C36&gt;=5,3,IF(C36&gt;=4,2,IF(C36&gt;=3,1,0)))</f>
        <v>0</v>
      </c>
      <c r="G36">
        <v>3</v>
      </c>
    </row>
    <row r="37" spans="2:7" ht="25.5" customHeight="1" x14ac:dyDescent="0.2">
      <c r="B37" s="23" t="s">
        <v>56</v>
      </c>
      <c r="C37" s="25"/>
      <c r="E37">
        <f t="shared" ref="E37:E39" si="1">IF($C$10="Mixed",$C$11*G37+(1-$C$11)*F37,IF($C$10="Natural Ventilation",G37,F37))</f>
        <v>0</v>
      </c>
      <c r="F37">
        <f>IF(C37="Yes",1,0)</f>
        <v>0</v>
      </c>
      <c r="G37">
        <v>0</v>
      </c>
    </row>
    <row r="38" spans="2:7" ht="25.5" x14ac:dyDescent="0.2">
      <c r="B38" s="23" t="s">
        <v>185</v>
      </c>
      <c r="C38" s="25"/>
      <c r="E38">
        <f t="shared" si="1"/>
        <v>0</v>
      </c>
      <c r="F38">
        <v>0</v>
      </c>
      <c r="G38">
        <f>IF(C38="Yes",1,0)</f>
        <v>0</v>
      </c>
    </row>
    <row r="39" spans="2:7" ht="25.5" x14ac:dyDescent="0.2">
      <c r="B39" s="23" t="s">
        <v>186</v>
      </c>
      <c r="C39" s="25"/>
      <c r="E39">
        <f t="shared" si="1"/>
        <v>0</v>
      </c>
      <c r="F39">
        <v>0</v>
      </c>
      <c r="G39">
        <f>IF(C39="Yes",1,0)</f>
        <v>0</v>
      </c>
    </row>
    <row r="40" spans="2:7" x14ac:dyDescent="0.2">
      <c r="B40" s="1" t="s">
        <v>19</v>
      </c>
      <c r="E40">
        <v>5</v>
      </c>
      <c r="F40" s="29">
        <v>0.185</v>
      </c>
    </row>
    <row r="41" spans="2:7" ht="25.5" customHeight="1" x14ac:dyDescent="0.2">
      <c r="B41" s="23" t="s">
        <v>182</v>
      </c>
      <c r="C41" s="25"/>
      <c r="E41">
        <f>IF(C41="Yes",1,0)</f>
        <v>0</v>
      </c>
    </row>
    <row r="42" spans="2:7" ht="25.5" x14ac:dyDescent="0.2">
      <c r="B42" s="23" t="s">
        <v>162</v>
      </c>
      <c r="C42" s="8"/>
      <c r="E42">
        <f>IFERROR(IF(C42/C12&gt;1.34,MIN((C42/C12-2.37)/(7.11-2.37)*4,4),0),0)</f>
        <v>0</v>
      </c>
    </row>
    <row r="43" spans="2:7" x14ac:dyDescent="0.2">
      <c r="B43" s="1" t="s">
        <v>20</v>
      </c>
      <c r="E43">
        <v>4</v>
      </c>
      <c r="F43" s="5">
        <v>0.14000000000000001</v>
      </c>
    </row>
    <row r="44" spans="2:7" ht="25.5" customHeight="1" x14ac:dyDescent="0.2">
      <c r="B44" s="26" t="s">
        <v>65</v>
      </c>
      <c r="C44" s="25"/>
      <c r="E44">
        <f>IF(C44="Yes",1,0)</f>
        <v>0</v>
      </c>
    </row>
    <row r="45" spans="2:7" ht="25.5" customHeight="1" x14ac:dyDescent="0.2">
      <c r="B45" s="24" t="s">
        <v>66</v>
      </c>
      <c r="C45" s="25"/>
      <c r="E45">
        <f t="shared" ref="E45:E47" si="2">IF(C45="Yes",1,0)</f>
        <v>0</v>
      </c>
    </row>
    <row r="46" spans="2:7" ht="25.5" customHeight="1" x14ac:dyDescent="0.2">
      <c r="B46" s="24" t="s">
        <v>67</v>
      </c>
      <c r="C46" s="25"/>
      <c r="E46">
        <f t="shared" si="2"/>
        <v>0</v>
      </c>
    </row>
    <row r="47" spans="2:7" ht="25.5" customHeight="1" x14ac:dyDescent="0.2">
      <c r="B47" s="24" t="s">
        <v>68</v>
      </c>
      <c r="C47" s="25"/>
      <c r="E47">
        <f t="shared" si="2"/>
        <v>0</v>
      </c>
    </row>
    <row r="48" spans="2:7" x14ac:dyDescent="0.2">
      <c r="B48" s="72" t="s">
        <v>181</v>
      </c>
      <c r="C48" s="71"/>
      <c r="E48">
        <v>1</v>
      </c>
      <c r="F48" s="5">
        <v>0.05</v>
      </c>
    </row>
    <row r="49" spans="2:5" ht="63.75" x14ac:dyDescent="0.2">
      <c r="B49" s="66" t="s">
        <v>187</v>
      </c>
      <c r="C49" s="25"/>
      <c r="E49">
        <f>IF(C49="Yes",1,0)</f>
        <v>0</v>
      </c>
    </row>
    <row r="51" spans="2:5" x14ac:dyDescent="0.2">
      <c r="B51" s="1" t="s">
        <v>75</v>
      </c>
    </row>
    <row r="52" spans="2:5" x14ac:dyDescent="0.2">
      <c r="B52" s="31" t="s">
        <v>69</v>
      </c>
      <c r="C52" s="28">
        <f>F32*C58*((4+C25*2)/7*C25+(3-C25*2)/7*SUM(E33:E39)/E32)</f>
        <v>0</v>
      </c>
    </row>
    <row r="53" spans="2:5" x14ac:dyDescent="0.2">
      <c r="B53" s="31" t="s">
        <v>18</v>
      </c>
      <c r="C53" s="28">
        <f>F28*C58*SUM(E29:E31)/E28</f>
        <v>0</v>
      </c>
    </row>
    <row r="54" spans="2:5" x14ac:dyDescent="0.2">
      <c r="B54" s="31" t="s">
        <v>70</v>
      </c>
      <c r="C54" s="28">
        <f>F40*C58*SUM(E41:E42)/E40</f>
        <v>0</v>
      </c>
    </row>
    <row r="55" spans="2:5" x14ac:dyDescent="0.2">
      <c r="B55" s="31" t="s">
        <v>20</v>
      </c>
      <c r="C55" s="28">
        <f>F43*C58*SUM(E44:E47)/E43</f>
        <v>0</v>
      </c>
    </row>
    <row r="56" spans="2:5" x14ac:dyDescent="0.2">
      <c r="B56" s="4" t="s">
        <v>181</v>
      </c>
      <c r="C56" s="28">
        <f>F48*C58*SUM(E49)/E48</f>
        <v>0</v>
      </c>
    </row>
    <row r="57" spans="2:5" x14ac:dyDescent="0.2">
      <c r="B57" s="1" t="s">
        <v>59</v>
      </c>
      <c r="C57" s="38">
        <f>IF(OR(C22="FAIL",C23="FAIL"),0,SUM(C52:C56))</f>
        <v>0</v>
      </c>
    </row>
    <row r="58" spans="2:5" x14ac:dyDescent="0.2">
      <c r="B58" s="1" t="s">
        <v>71</v>
      </c>
      <c r="C58" s="38">
        <v>10</v>
      </c>
    </row>
    <row r="61" spans="2:5" x14ac:dyDescent="0.2">
      <c r="B61" s="1" t="s">
        <v>262</v>
      </c>
    </row>
    <row r="62" spans="2:5" ht="25.5" x14ac:dyDescent="0.2">
      <c r="B62" s="74" t="s">
        <v>267</v>
      </c>
      <c r="C62" s="25"/>
      <c r="D62" t="s">
        <v>264</v>
      </c>
    </row>
    <row r="63" spans="2:5" x14ac:dyDescent="0.2">
      <c r="B63" s="92" t="s">
        <v>265</v>
      </c>
      <c r="C63" s="25"/>
      <c r="D63" t="s">
        <v>264</v>
      </c>
    </row>
    <row r="65" spans="2:5" x14ac:dyDescent="0.2">
      <c r="B65" t="s">
        <v>266</v>
      </c>
      <c r="C65" s="41">
        <f>IFERROR(C63/C62,0)</f>
        <v>0</v>
      </c>
    </row>
    <row r="67" spans="2:5" x14ac:dyDescent="0.2">
      <c r="B67" s="1" t="s">
        <v>75</v>
      </c>
    </row>
    <row r="68" spans="2:5" x14ac:dyDescent="0.2">
      <c r="B68" s="1" t="s">
        <v>59</v>
      </c>
      <c r="C68" s="93">
        <f>IF(C65&gt;E68,C69,0)</f>
        <v>0</v>
      </c>
      <c r="E68" s="5">
        <v>0.2</v>
      </c>
    </row>
    <row r="69" spans="2:5" x14ac:dyDescent="0.2">
      <c r="B69" s="1" t="s">
        <v>194</v>
      </c>
      <c r="C69" s="93">
        <v>1</v>
      </c>
    </row>
  </sheetData>
  <sheetProtection password="E6B1" sheet="1" objects="1" scenarios="1"/>
  <conditionalFormatting sqref="C22:C23">
    <cfRule type="cellIs" dxfId="19" priority="1" operator="equal">
      <formula>"FAIL"</formula>
    </cfRule>
  </conditionalFormatting>
  <dataValidations count="11">
    <dataValidation type="list" allowBlank="1" showInputMessage="1" showErrorMessage="1" sqref="C44:C48">
      <formula1>OptionNA</formula1>
    </dataValidation>
    <dataValidation type="list" allowBlank="1" showInputMessage="1" showErrorMessage="1" sqref="C29:C31 C41 C34 C37:C39 C49">
      <formula1>Option</formula1>
    </dataValidation>
    <dataValidation type="list" allowBlank="1" showInputMessage="1" showErrorMessage="1" sqref="C33 C36">
      <formula1>ACStarRating</formula1>
    </dataValidation>
    <dataValidation type="decimal" allowBlank="1" showInputMessage="1" showErrorMessage="1" sqref="C42">
      <formula1>0</formula1>
      <formula2>1000000</formula2>
    </dataValidation>
    <dataValidation type="list" allowBlank="1" showInputMessage="1" showErrorMessage="1" sqref="C9">
      <formula1>NatHERSZone</formula1>
    </dataValidation>
    <dataValidation type="list" allowBlank="1" showInputMessage="1" showErrorMessage="1" sqref="C3:C4">
      <formula1>NatHERSStar</formula1>
    </dataValidation>
    <dataValidation type="list" allowBlank="1" showInputMessage="1" showErrorMessage="1" promptTitle="Comfort control strategy" prompt="Mechanical cooling: all apartments are provided with mechanical cooling equipment (i.e. air conditioning)_x000a_Natural ventilation: NO apartments are provided with mechanical cooling_x000a_Mixed: some apartments are provided with mechanical cooling and some are not." sqref="C10">
      <formula1>ComfortControl</formula1>
    </dataValidation>
    <dataValidation type="decimal" allowBlank="1" showInputMessage="1" showErrorMessage="1" promptTitle="Proportion nat vent" prompt="Enter the proportion of the total apartments which are NOT provided with mechanical cooling (i.e. air conditioning)." sqref="C11">
      <formula1>0</formula1>
      <formula2>1</formula2>
    </dataValidation>
    <dataValidation allowBlank="1" showInputMessage="1" showErrorMessage="1" promptTitle="Average Energy Intensity" prompt="Enter the area-weighted average energy intensity for all apartments in the development, based on the NatHERS assessment results for all apartment types." sqref="C18"/>
    <dataValidation allowBlank="1" showInputMessage="1" showErrorMessage="1" promptTitle="Worst-Case Energy Intensity" prompt="Enter the worst-case apartment energy intensity for the development, based on the NatHERS assessment results for all apartment types." sqref="C19"/>
    <dataValidation type="whole" allowBlank="1" showInputMessage="1" showErrorMessage="1" promptTitle="Building Occupancy" prompt="Enter the total number of building occupants, based on 2 people for the first bed and 1 person for each additional bed in each apartment." sqref="C12">
      <formula1>0</formula1>
      <formula2>1000000</formula2>
    </dataValidation>
  </dataValidations>
  <pageMargins left="0.7" right="0.7" top="0.75" bottom="0.75" header="0.3" footer="0.3"/>
  <pageSetup paperSize="25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99"/>
  <sheetViews>
    <sheetView zoomScaleNormal="100" workbookViewId="0">
      <selection activeCell="C3" sqref="C3"/>
    </sheetView>
  </sheetViews>
  <sheetFormatPr defaultRowHeight="12.75" x14ac:dyDescent="0.2"/>
  <cols>
    <col min="1" max="1" width="1.42578125" customWidth="1"/>
    <col min="2" max="2" width="29.28515625" customWidth="1"/>
    <col min="3" max="3" width="15.85546875" bestFit="1" customWidth="1"/>
    <col min="4" max="4" width="15.5703125" customWidth="1"/>
    <col min="5" max="5" width="18.85546875" bestFit="1" customWidth="1"/>
    <col min="6" max="6" width="15.85546875" bestFit="1" customWidth="1"/>
    <col min="7" max="7" width="15.5703125" bestFit="1" customWidth="1"/>
    <col min="8" max="8" width="15.85546875" bestFit="1" customWidth="1"/>
    <col min="9" max="10" width="15.5703125" bestFit="1" customWidth="1"/>
    <col min="11" max="11" width="13.140625" bestFit="1" customWidth="1"/>
    <col min="12" max="12" width="50.28515625" customWidth="1"/>
  </cols>
  <sheetData>
    <row r="1" spans="2:5" ht="7.5" customHeight="1" x14ac:dyDescent="0.2"/>
    <row r="2" spans="2:5" ht="23.25" customHeight="1" x14ac:dyDescent="0.2">
      <c r="B2" s="111" t="s">
        <v>277</v>
      </c>
      <c r="C2" s="111"/>
      <c r="D2" s="111"/>
      <c r="E2" s="111"/>
    </row>
    <row r="3" spans="2:5" x14ac:dyDescent="0.2">
      <c r="B3" s="1" t="s">
        <v>96</v>
      </c>
      <c r="C3" s="33"/>
    </row>
    <row r="4" spans="2:5" x14ac:dyDescent="0.2">
      <c r="B4" s="1" t="s">
        <v>146</v>
      </c>
      <c r="C4" s="33"/>
    </row>
    <row r="5" spans="2:5" x14ac:dyDescent="0.2">
      <c r="B5" s="1"/>
    </row>
    <row r="6" spans="2:5" x14ac:dyDescent="0.2">
      <c r="B6" s="1" t="s">
        <v>180</v>
      </c>
      <c r="D6" s="1" t="s">
        <v>250</v>
      </c>
    </row>
    <row r="7" spans="2:5" ht="15.75" x14ac:dyDescent="0.3">
      <c r="B7" t="s">
        <v>114</v>
      </c>
      <c r="C7" s="27" t="str">
        <f>IFERROR(VLOOKUP($C$3,GeoGHGFactor,2,FALSE),"Select Location")</f>
        <v>Select Location</v>
      </c>
      <c r="D7" t="s">
        <v>178</v>
      </c>
      <c r="E7" t="s">
        <v>115</v>
      </c>
    </row>
    <row r="8" spans="2:5" ht="15.75" x14ac:dyDescent="0.3">
      <c r="B8" t="s">
        <v>97</v>
      </c>
      <c r="C8" s="27" t="str">
        <f>IFERROR(VLOOKUP($C$3,GeoGHGFactor,3,FALSE),"Select Location")</f>
        <v>Select Location</v>
      </c>
      <c r="D8" t="s">
        <v>179</v>
      </c>
      <c r="E8" t="s">
        <v>115</v>
      </c>
    </row>
    <row r="9" spans="2:5" ht="15.75" x14ac:dyDescent="0.3">
      <c r="B9" t="s">
        <v>106</v>
      </c>
      <c r="C9" s="34">
        <f>64.9/1000</f>
        <v>6.4899999999999999E-2</v>
      </c>
      <c r="D9" t="s">
        <v>179</v>
      </c>
      <c r="E9" t="s">
        <v>177</v>
      </c>
    </row>
    <row r="10" spans="2:5" ht="15.75" x14ac:dyDescent="0.3">
      <c r="B10" t="s">
        <v>107</v>
      </c>
      <c r="C10" s="34">
        <f>74.8/1000</f>
        <v>7.4799999999999991E-2</v>
      </c>
      <c r="D10" t="s">
        <v>179</v>
      </c>
      <c r="E10" t="s">
        <v>177</v>
      </c>
    </row>
    <row r="11" spans="2:5" ht="15.75" x14ac:dyDescent="0.3">
      <c r="B11" t="s">
        <v>108</v>
      </c>
      <c r="C11" s="34">
        <f>93.03/1000</f>
        <v>9.3030000000000002E-2</v>
      </c>
      <c r="D11" t="s">
        <v>179</v>
      </c>
      <c r="E11" t="s">
        <v>177</v>
      </c>
    </row>
    <row r="12" spans="2:5" ht="15.75" x14ac:dyDescent="0.3">
      <c r="B12" t="s">
        <v>109</v>
      </c>
      <c r="C12" s="34">
        <f>1.8/1000</f>
        <v>1.8E-3</v>
      </c>
      <c r="D12" t="s">
        <v>179</v>
      </c>
      <c r="E12" t="s">
        <v>177</v>
      </c>
    </row>
    <row r="13" spans="2:5" ht="15.75" x14ac:dyDescent="0.3">
      <c r="B13" t="s">
        <v>110</v>
      </c>
      <c r="C13" s="34">
        <f>0.26/1000</f>
        <v>2.6000000000000003E-4</v>
      </c>
      <c r="D13" t="s">
        <v>179</v>
      </c>
      <c r="E13" t="s">
        <v>177</v>
      </c>
    </row>
    <row r="14" spans="2:5" ht="15.75" x14ac:dyDescent="0.3">
      <c r="B14" t="s">
        <v>111</v>
      </c>
      <c r="C14" s="33"/>
      <c r="D14" t="s">
        <v>179</v>
      </c>
      <c r="E14" t="s">
        <v>116</v>
      </c>
    </row>
    <row r="15" spans="2:5" ht="15.75" x14ac:dyDescent="0.3">
      <c r="B15" t="s">
        <v>112</v>
      </c>
      <c r="C15" s="33"/>
      <c r="D15" t="s">
        <v>179</v>
      </c>
      <c r="E15" t="s">
        <v>116</v>
      </c>
    </row>
    <row r="16" spans="2:5" ht="15.75" x14ac:dyDescent="0.3">
      <c r="B16" t="s">
        <v>261</v>
      </c>
      <c r="C16" s="33"/>
      <c r="D16" t="s">
        <v>179</v>
      </c>
      <c r="E16" t="s">
        <v>116</v>
      </c>
    </row>
    <row r="17" spans="2:12" ht="15.75" x14ac:dyDescent="0.3">
      <c r="B17" t="s">
        <v>113</v>
      </c>
      <c r="C17" s="33"/>
      <c r="D17" t="s">
        <v>178</v>
      </c>
      <c r="E17" t="s">
        <v>116</v>
      </c>
    </row>
    <row r="19" spans="2:12" x14ac:dyDescent="0.2">
      <c r="C19" s="106" t="s">
        <v>94</v>
      </c>
      <c r="D19" s="106"/>
      <c r="E19" s="106"/>
      <c r="F19" s="106" t="s">
        <v>129</v>
      </c>
      <c r="G19" s="106"/>
      <c r="H19" s="106" t="s">
        <v>95</v>
      </c>
      <c r="I19" s="106"/>
      <c r="J19" s="106"/>
      <c r="K19" s="105" t="s">
        <v>118</v>
      </c>
      <c r="L19" s="104" t="s">
        <v>128</v>
      </c>
    </row>
    <row r="20" spans="2:12" x14ac:dyDescent="0.2">
      <c r="B20" s="1"/>
      <c r="C20" s="43" t="s">
        <v>100</v>
      </c>
      <c r="D20" s="43" t="s">
        <v>87</v>
      </c>
      <c r="E20" s="43" t="s">
        <v>88</v>
      </c>
      <c r="F20" s="43" t="s">
        <v>87</v>
      </c>
      <c r="G20" s="43" t="s">
        <v>88</v>
      </c>
      <c r="H20" s="43" t="s">
        <v>100</v>
      </c>
      <c r="I20" s="43" t="s">
        <v>87</v>
      </c>
      <c r="J20" s="43" t="s">
        <v>88</v>
      </c>
      <c r="K20" s="110"/>
      <c r="L20" s="105"/>
    </row>
    <row r="21" spans="2:12" x14ac:dyDescent="0.2">
      <c r="B21" s="44" t="s">
        <v>16</v>
      </c>
      <c r="C21" s="45"/>
      <c r="D21" s="45"/>
      <c r="E21" s="45"/>
      <c r="F21" s="45"/>
      <c r="G21" s="45"/>
      <c r="H21" s="45"/>
      <c r="I21" s="45"/>
      <c r="J21" s="45"/>
      <c r="K21" s="45"/>
      <c r="L21" s="46"/>
    </row>
    <row r="22" spans="2:12" x14ac:dyDescent="0.2">
      <c r="B22" s="35" t="s">
        <v>77</v>
      </c>
      <c r="C22" s="33"/>
      <c r="D22" s="75"/>
      <c r="E22" s="40" t="str">
        <f t="shared" ref="E22:E29" si="0">IFERROR(VLOOKUP(C22,$B$7:$C$17,2,FALSE)*D22,"")</f>
        <v/>
      </c>
      <c r="F22" s="75"/>
      <c r="G22" s="40" t="str">
        <f t="shared" ref="G22:G29" si="1">IFERROR(VLOOKUP(C22,$B$7:$C$17,2,FALSE)*F22,"")</f>
        <v/>
      </c>
      <c r="H22" s="33"/>
      <c r="I22" s="75"/>
      <c r="J22" s="40" t="str">
        <f>IFERROR(VLOOKUP(H22,$B$7:$C$17,2,FALSE)*I22,"")</f>
        <v/>
      </c>
      <c r="K22" s="62" t="str">
        <f>IFERROR(IF(H22=$B$15,(D22-F22)/D22,(D22-I22)/D22),"")</f>
        <v/>
      </c>
      <c r="L22" s="77"/>
    </row>
    <row r="23" spans="2:12" x14ac:dyDescent="0.2">
      <c r="B23" s="35" t="s">
        <v>77</v>
      </c>
      <c r="C23" s="36"/>
      <c r="D23" s="76"/>
      <c r="E23" s="40" t="str">
        <f t="shared" si="0"/>
        <v/>
      </c>
      <c r="F23" s="75"/>
      <c r="G23" s="40" t="str">
        <f t="shared" si="1"/>
        <v/>
      </c>
      <c r="H23" s="33"/>
      <c r="I23" s="75"/>
      <c r="J23" s="40" t="str">
        <f>IFERROR(VLOOKUP(H23,$B$7:$C$17,2,FALSE)*I23,"")</f>
        <v/>
      </c>
      <c r="K23" s="62" t="str">
        <f t="shared" ref="K23" si="2">IFERROR(IF(H23=$B$15,(D23-F23)/D23,(D23-I23)/D23),"")</f>
        <v/>
      </c>
      <c r="L23" s="77"/>
    </row>
    <row r="24" spans="2:12" x14ac:dyDescent="0.2">
      <c r="B24" s="35" t="s">
        <v>78</v>
      </c>
      <c r="C24" s="37" t="s">
        <v>114</v>
      </c>
      <c r="D24" s="75"/>
      <c r="E24" s="40" t="str">
        <f t="shared" si="0"/>
        <v/>
      </c>
      <c r="F24" s="75"/>
      <c r="G24" s="40" t="str">
        <f t="shared" si="1"/>
        <v/>
      </c>
      <c r="H24" s="33"/>
      <c r="I24" s="75"/>
      <c r="J24" s="40"/>
      <c r="K24" s="62" t="str">
        <f>IFERROR(IF(H24=$B$14,(D24-F24)/D24,(D24-I24)/D24),"")</f>
        <v/>
      </c>
      <c r="L24" s="77"/>
    </row>
    <row r="25" spans="2:12" x14ac:dyDescent="0.2">
      <c r="B25" s="35" t="s">
        <v>78</v>
      </c>
      <c r="C25" s="37"/>
      <c r="D25" s="42"/>
      <c r="E25" s="40" t="str">
        <f t="shared" si="0"/>
        <v/>
      </c>
      <c r="F25" s="42"/>
      <c r="G25" s="40" t="str">
        <f t="shared" si="1"/>
        <v/>
      </c>
      <c r="H25" s="33"/>
      <c r="I25" s="75"/>
      <c r="J25" s="40" t="str">
        <f>IFERROR(VLOOKUP(H25,$B$7:$C$17,2,FALSE)*I25,"")</f>
        <v/>
      </c>
      <c r="K25" s="62" t="str">
        <f>IFERROR(IF(H25=$B$14,(D25-F25)/D25,(D25-I25)/D25),"")</f>
        <v/>
      </c>
      <c r="L25" s="77"/>
    </row>
    <row r="26" spans="2:12" x14ac:dyDescent="0.2">
      <c r="B26" s="35" t="s">
        <v>79</v>
      </c>
      <c r="C26" s="37" t="s">
        <v>114</v>
      </c>
      <c r="D26" s="75"/>
      <c r="E26" s="40" t="str">
        <f t="shared" si="0"/>
        <v/>
      </c>
      <c r="F26" s="75"/>
      <c r="G26" s="40" t="str">
        <f t="shared" si="1"/>
        <v/>
      </c>
      <c r="H26" s="33"/>
      <c r="I26" s="75"/>
      <c r="J26" s="40" t="str">
        <f>IFERROR(VLOOKUP(H26,$B$7:$C$17,2,FALSE)*I26,"")</f>
        <v/>
      </c>
      <c r="K26" s="62" t="str">
        <f>IFERROR((D26-I26)/D26,"")</f>
        <v/>
      </c>
      <c r="L26" s="77"/>
    </row>
    <row r="27" spans="2:12" x14ac:dyDescent="0.2">
      <c r="B27" s="35" t="s">
        <v>80</v>
      </c>
      <c r="C27" s="37" t="s">
        <v>114</v>
      </c>
      <c r="D27" s="75"/>
      <c r="E27" s="40" t="str">
        <f t="shared" si="0"/>
        <v/>
      </c>
      <c r="F27" s="75"/>
      <c r="G27" s="40" t="str">
        <f t="shared" si="1"/>
        <v/>
      </c>
      <c r="H27" s="33"/>
      <c r="I27" s="75"/>
      <c r="J27" s="40" t="str">
        <f>IFERROR(VLOOKUP(H27,$B$7:$C$17,2,FALSE)*I27,"")</f>
        <v/>
      </c>
      <c r="K27" s="62" t="str">
        <f t="shared" ref="K27:K29" si="3">IFERROR((D27-I27)/D27,"")</f>
        <v/>
      </c>
      <c r="L27" s="77"/>
    </row>
    <row r="28" spans="2:12" x14ac:dyDescent="0.2">
      <c r="B28" s="35" t="s">
        <v>81</v>
      </c>
      <c r="C28" s="37" t="s">
        <v>114</v>
      </c>
      <c r="D28" s="75"/>
      <c r="E28" s="40" t="str">
        <f t="shared" si="0"/>
        <v/>
      </c>
      <c r="F28" s="75"/>
      <c r="G28" s="40" t="str">
        <f t="shared" si="1"/>
        <v/>
      </c>
      <c r="H28" s="33"/>
      <c r="I28" s="75"/>
      <c r="J28" s="40" t="str">
        <f>IFERROR(VLOOKUP(H28,$B$7:$C$17,2,FALSE)*I28,"")</f>
        <v/>
      </c>
      <c r="K28" s="62" t="str">
        <f t="shared" si="3"/>
        <v/>
      </c>
      <c r="L28" s="77"/>
    </row>
    <row r="29" spans="2:12" x14ac:dyDescent="0.2">
      <c r="B29" s="35" t="s">
        <v>82</v>
      </c>
      <c r="C29" s="37" t="s">
        <v>114</v>
      </c>
      <c r="D29" s="75"/>
      <c r="E29" s="40" t="str">
        <f t="shared" si="0"/>
        <v/>
      </c>
      <c r="F29" s="75"/>
      <c r="G29" s="40" t="str">
        <f t="shared" si="1"/>
        <v/>
      </c>
      <c r="H29" s="33"/>
      <c r="I29" s="75"/>
      <c r="J29" s="40" t="str">
        <f>IFERROR(VLOOKUP(H29,$B$7:$C$17,2,FALSE)*I29,"")</f>
        <v/>
      </c>
      <c r="K29" s="62" t="str">
        <f t="shared" si="3"/>
        <v/>
      </c>
      <c r="L29" s="77"/>
    </row>
    <row r="30" spans="2:12" x14ac:dyDescent="0.2">
      <c r="B30" s="44" t="s">
        <v>83</v>
      </c>
      <c r="C30" s="45"/>
      <c r="D30" s="47"/>
      <c r="E30" s="47"/>
      <c r="F30" s="47"/>
      <c r="G30" s="47"/>
      <c r="H30" s="45"/>
      <c r="I30" s="47"/>
      <c r="J30" s="47"/>
      <c r="K30" s="47"/>
      <c r="L30" s="46"/>
    </row>
    <row r="31" spans="2:12" x14ac:dyDescent="0.2">
      <c r="B31" s="35" t="s">
        <v>19</v>
      </c>
      <c r="C31" s="33"/>
      <c r="D31" s="75"/>
      <c r="E31" s="40" t="str">
        <f t="shared" ref="E31:E42" si="4">IFERROR(VLOOKUP(C31,$B$7:$C$17,2,FALSE)*D31,"")</f>
        <v/>
      </c>
      <c r="F31" s="42">
        <f>D31</f>
        <v>0</v>
      </c>
      <c r="G31" s="40" t="str">
        <f t="shared" ref="G31:G42" si="5">IFERROR(VLOOKUP(C31,$B$7:$C$17,2,FALSE)*F31,"")</f>
        <v/>
      </c>
      <c r="H31" s="33"/>
      <c r="I31" s="75"/>
      <c r="J31" s="40" t="str">
        <f>IFERROR(VLOOKUP(H31,$B$7:$C$17,2,FALSE)*I31,"")</f>
        <v/>
      </c>
      <c r="K31" s="62" t="str">
        <f t="shared" ref="K31:K42" si="6">IFERROR((D31-I31)/D31,"")</f>
        <v/>
      </c>
      <c r="L31" s="77"/>
    </row>
    <row r="32" spans="2:12" x14ac:dyDescent="0.2">
      <c r="B32" s="35" t="s">
        <v>124</v>
      </c>
      <c r="C32" s="37" t="s">
        <v>114</v>
      </c>
      <c r="D32" s="75"/>
      <c r="E32" s="40" t="str">
        <f t="shared" si="4"/>
        <v/>
      </c>
      <c r="F32" s="42">
        <f t="shared" ref="F32:F42" si="7">D32</f>
        <v>0</v>
      </c>
      <c r="G32" s="40" t="str">
        <f t="shared" si="5"/>
        <v/>
      </c>
      <c r="H32" s="33"/>
      <c r="I32" s="75"/>
      <c r="J32" s="40"/>
      <c r="K32" s="62" t="str">
        <f t="shared" si="6"/>
        <v/>
      </c>
      <c r="L32" s="77"/>
    </row>
    <row r="33" spans="2:12" x14ac:dyDescent="0.2">
      <c r="B33" s="35" t="s">
        <v>125</v>
      </c>
      <c r="C33" s="37" t="s">
        <v>114</v>
      </c>
      <c r="D33" s="75"/>
      <c r="E33" s="40" t="str">
        <f t="shared" si="4"/>
        <v/>
      </c>
      <c r="F33" s="42">
        <f t="shared" si="7"/>
        <v>0</v>
      </c>
      <c r="G33" s="40" t="str">
        <f t="shared" si="5"/>
        <v/>
      </c>
      <c r="H33" s="33"/>
      <c r="I33" s="75"/>
      <c r="J33" s="40"/>
      <c r="K33" s="62" t="str">
        <f t="shared" si="6"/>
        <v/>
      </c>
      <c r="L33" s="77"/>
    </row>
    <row r="34" spans="2:12" x14ac:dyDescent="0.2">
      <c r="B34" s="35" t="s">
        <v>84</v>
      </c>
      <c r="C34" s="37" t="s">
        <v>114</v>
      </c>
      <c r="D34" s="75"/>
      <c r="E34" s="40" t="str">
        <f t="shared" si="4"/>
        <v/>
      </c>
      <c r="F34" s="42">
        <f t="shared" si="7"/>
        <v>0</v>
      </c>
      <c r="G34" s="40" t="str">
        <f t="shared" si="5"/>
        <v/>
      </c>
      <c r="H34" s="33"/>
      <c r="I34" s="75"/>
      <c r="J34" s="40" t="str">
        <f t="shared" ref="J34:J42" si="8">IFERROR(VLOOKUP(H34,$B$7:$C$17,2,FALSE)*I34,"")</f>
        <v/>
      </c>
      <c r="K34" s="62" t="str">
        <f t="shared" si="6"/>
        <v/>
      </c>
      <c r="L34" s="77"/>
    </row>
    <row r="35" spans="2:12" x14ac:dyDescent="0.2">
      <c r="B35" s="35" t="s">
        <v>85</v>
      </c>
      <c r="C35" s="37" t="s">
        <v>114</v>
      </c>
      <c r="D35" s="75"/>
      <c r="E35" s="40" t="str">
        <f t="shared" si="4"/>
        <v/>
      </c>
      <c r="F35" s="42">
        <f t="shared" si="7"/>
        <v>0</v>
      </c>
      <c r="G35" s="40" t="str">
        <f t="shared" si="5"/>
        <v/>
      </c>
      <c r="H35" s="33"/>
      <c r="I35" s="75"/>
      <c r="J35" s="40" t="str">
        <f t="shared" si="8"/>
        <v/>
      </c>
      <c r="K35" s="62" t="str">
        <f t="shared" si="6"/>
        <v/>
      </c>
      <c r="L35" s="77"/>
    </row>
    <row r="36" spans="2:12" x14ac:dyDescent="0.2">
      <c r="B36" s="35" t="s">
        <v>86</v>
      </c>
      <c r="C36" s="37" t="s">
        <v>114</v>
      </c>
      <c r="D36" s="75"/>
      <c r="E36" s="40" t="str">
        <f t="shared" si="4"/>
        <v/>
      </c>
      <c r="F36" s="42">
        <f t="shared" si="7"/>
        <v>0</v>
      </c>
      <c r="G36" s="40" t="str">
        <f t="shared" si="5"/>
        <v/>
      </c>
      <c r="H36" s="33"/>
      <c r="I36" s="75"/>
      <c r="J36" s="40" t="str">
        <f t="shared" si="8"/>
        <v/>
      </c>
      <c r="K36" s="62" t="str">
        <f t="shared" si="6"/>
        <v/>
      </c>
      <c r="L36" s="77"/>
    </row>
    <row r="37" spans="2:12" x14ac:dyDescent="0.2">
      <c r="B37" s="35" t="s">
        <v>270</v>
      </c>
      <c r="C37" s="37" t="s">
        <v>114</v>
      </c>
      <c r="D37" s="75"/>
      <c r="E37" s="40"/>
      <c r="F37" s="42">
        <f t="shared" si="7"/>
        <v>0</v>
      </c>
      <c r="G37" s="40"/>
      <c r="H37" s="33"/>
      <c r="I37" s="75"/>
      <c r="J37" s="40"/>
      <c r="K37" s="62" t="str">
        <f t="shared" si="6"/>
        <v/>
      </c>
      <c r="L37" s="77"/>
    </row>
    <row r="38" spans="2:12" x14ac:dyDescent="0.2">
      <c r="B38" s="33" t="s">
        <v>101</v>
      </c>
      <c r="C38" s="37"/>
      <c r="D38" s="42">
        <v>0</v>
      </c>
      <c r="E38" s="40" t="str">
        <f t="shared" si="4"/>
        <v/>
      </c>
      <c r="F38" s="42">
        <f t="shared" si="7"/>
        <v>0</v>
      </c>
      <c r="G38" s="40" t="str">
        <f t="shared" si="5"/>
        <v/>
      </c>
      <c r="H38" s="33"/>
      <c r="I38" s="75"/>
      <c r="J38" s="40" t="str">
        <f t="shared" si="8"/>
        <v/>
      </c>
      <c r="K38" s="62" t="str">
        <f t="shared" si="6"/>
        <v/>
      </c>
      <c r="L38" s="77"/>
    </row>
    <row r="39" spans="2:12" x14ac:dyDescent="0.2">
      <c r="B39" s="33" t="s">
        <v>102</v>
      </c>
      <c r="C39" s="37"/>
      <c r="D39" s="42">
        <v>0</v>
      </c>
      <c r="E39" s="40" t="str">
        <f t="shared" si="4"/>
        <v/>
      </c>
      <c r="F39" s="42">
        <f t="shared" si="7"/>
        <v>0</v>
      </c>
      <c r="G39" s="40" t="str">
        <f t="shared" si="5"/>
        <v/>
      </c>
      <c r="H39" s="33"/>
      <c r="I39" s="75"/>
      <c r="J39" s="40" t="str">
        <f t="shared" si="8"/>
        <v/>
      </c>
      <c r="K39" s="62" t="str">
        <f t="shared" si="6"/>
        <v/>
      </c>
      <c r="L39" s="77"/>
    </row>
    <row r="40" spans="2:12" x14ac:dyDescent="0.2">
      <c r="B40" s="33" t="s">
        <v>103</v>
      </c>
      <c r="C40" s="37"/>
      <c r="D40" s="42">
        <v>0</v>
      </c>
      <c r="E40" s="40" t="str">
        <f t="shared" si="4"/>
        <v/>
      </c>
      <c r="F40" s="42">
        <f t="shared" si="7"/>
        <v>0</v>
      </c>
      <c r="G40" s="40" t="str">
        <f t="shared" si="5"/>
        <v/>
      </c>
      <c r="H40" s="33"/>
      <c r="I40" s="75"/>
      <c r="J40" s="40" t="str">
        <f t="shared" si="8"/>
        <v/>
      </c>
      <c r="K40" s="62" t="str">
        <f t="shared" si="6"/>
        <v/>
      </c>
      <c r="L40" s="77"/>
    </row>
    <row r="41" spans="2:12" x14ac:dyDescent="0.2">
      <c r="B41" s="33" t="s">
        <v>104</v>
      </c>
      <c r="C41" s="37"/>
      <c r="D41" s="42">
        <v>0</v>
      </c>
      <c r="E41" s="40" t="str">
        <f t="shared" si="4"/>
        <v/>
      </c>
      <c r="F41" s="42">
        <f t="shared" si="7"/>
        <v>0</v>
      </c>
      <c r="G41" s="40" t="str">
        <f t="shared" si="5"/>
        <v/>
      </c>
      <c r="H41" s="33"/>
      <c r="I41" s="75"/>
      <c r="J41" s="40" t="str">
        <f t="shared" si="8"/>
        <v/>
      </c>
      <c r="K41" s="62" t="str">
        <f t="shared" si="6"/>
        <v/>
      </c>
      <c r="L41" s="77"/>
    </row>
    <row r="42" spans="2:12" x14ac:dyDescent="0.2">
      <c r="B42" s="33" t="s">
        <v>105</v>
      </c>
      <c r="C42" s="37"/>
      <c r="D42" s="42">
        <v>0</v>
      </c>
      <c r="E42" s="40" t="str">
        <f t="shared" si="4"/>
        <v/>
      </c>
      <c r="F42" s="42">
        <f t="shared" si="7"/>
        <v>0</v>
      </c>
      <c r="G42" s="40" t="str">
        <f t="shared" si="5"/>
        <v/>
      </c>
      <c r="H42" s="33"/>
      <c r="I42" s="75"/>
      <c r="J42" s="40" t="str">
        <f t="shared" si="8"/>
        <v/>
      </c>
      <c r="K42" s="62" t="str">
        <f t="shared" si="6"/>
        <v/>
      </c>
      <c r="L42" s="77"/>
    </row>
    <row r="43" spans="2:12" x14ac:dyDescent="0.2">
      <c r="B43" s="49" t="s">
        <v>59</v>
      </c>
      <c r="C43" s="50"/>
      <c r="D43" s="50">
        <f>SUMIF($C$22:$C$42,"Grid Electricity",D22:D42)*3.6+SUMIF($C$22:$C$42,"&lt;&gt;Grid Electricity",D22:D42)</f>
        <v>0</v>
      </c>
      <c r="E43" s="50">
        <f t="shared" ref="E43:J43" si="9">SUM(E22:E36)</f>
        <v>0</v>
      </c>
      <c r="F43" s="50">
        <f>SUMIF($C$22:$C$42,"Grid Electricity",F22:F42)*3.6+SUMIF($C$22:$C$42,"&lt;&gt;Grid Electricity",F22:F42)</f>
        <v>0</v>
      </c>
      <c r="G43" s="50">
        <f t="shared" si="9"/>
        <v>0</v>
      </c>
      <c r="H43" s="50"/>
      <c r="I43" s="50">
        <f>SUMIF($C$22:$C$42,"Grid Electricity",I22:I42)*3.6+SUMIF($C$22:$C$42,"&lt;&gt;Grid Electricity",I22:I42)</f>
        <v>0</v>
      </c>
      <c r="J43" s="50">
        <f t="shared" si="9"/>
        <v>0</v>
      </c>
      <c r="K43" s="50"/>
      <c r="L43" s="51"/>
    </row>
    <row r="45" spans="2:12" x14ac:dyDescent="0.2">
      <c r="B45" s="44" t="s">
        <v>89</v>
      </c>
      <c r="C45" s="45"/>
      <c r="D45" s="45"/>
      <c r="E45" s="45"/>
      <c r="F45" s="45"/>
      <c r="G45" s="45"/>
      <c r="H45" s="45"/>
      <c r="I45" s="45"/>
      <c r="J45" s="45"/>
      <c r="K45" s="45"/>
      <c r="L45" s="46"/>
    </row>
    <row r="46" spans="2:12" x14ac:dyDescent="0.2">
      <c r="B46" s="35" t="s">
        <v>72</v>
      </c>
      <c r="C46" s="34"/>
      <c r="D46" s="42">
        <v>0</v>
      </c>
      <c r="E46" s="42">
        <v>0</v>
      </c>
      <c r="F46" s="42">
        <v>0</v>
      </c>
      <c r="G46" s="42">
        <v>0</v>
      </c>
      <c r="H46" s="34" t="s">
        <v>114</v>
      </c>
      <c r="I46" s="75"/>
      <c r="J46" s="40" t="str">
        <f>IFERROR(VLOOKUP(H46,$B$7:$C$17,2,FALSE)*I46,"")</f>
        <v/>
      </c>
      <c r="K46" s="40"/>
      <c r="L46" s="35"/>
    </row>
    <row r="47" spans="2:12" x14ac:dyDescent="0.2">
      <c r="B47" s="35" t="s">
        <v>90</v>
      </c>
      <c r="C47" s="34"/>
      <c r="D47" s="42">
        <v>0</v>
      </c>
      <c r="E47" s="42">
        <v>0</v>
      </c>
      <c r="F47" s="42">
        <v>0</v>
      </c>
      <c r="G47" s="42">
        <v>0</v>
      </c>
      <c r="H47" s="34" t="s">
        <v>114</v>
      </c>
      <c r="I47" s="75"/>
      <c r="J47" s="40" t="str">
        <f>IFERROR(VLOOKUP(H47,$B$7:$C$17,2,FALSE)*I47,"")</f>
        <v/>
      </c>
      <c r="K47" s="40"/>
      <c r="L47" s="35"/>
    </row>
    <row r="48" spans="2:12" x14ac:dyDescent="0.2">
      <c r="B48" s="44" t="s">
        <v>91</v>
      </c>
      <c r="C48" s="45"/>
      <c r="D48" s="47"/>
      <c r="E48" s="47"/>
      <c r="F48" s="47"/>
      <c r="G48" s="47"/>
      <c r="H48" s="45"/>
      <c r="I48" s="47"/>
      <c r="J48" s="47"/>
      <c r="K48" s="47"/>
      <c r="L48" s="46"/>
    </row>
    <row r="49" spans="2:12" x14ac:dyDescent="0.2">
      <c r="B49" s="35" t="s">
        <v>92</v>
      </c>
      <c r="C49" s="34"/>
      <c r="D49" s="42">
        <v>0</v>
      </c>
      <c r="E49" s="42">
        <v>0</v>
      </c>
      <c r="F49" s="42">
        <v>0</v>
      </c>
      <c r="G49" s="42">
        <v>0</v>
      </c>
      <c r="H49" s="33"/>
      <c r="I49" s="75"/>
      <c r="J49" s="40" t="str">
        <f>IFERROR(VLOOKUP(H49,$B$7:$C$17,2,FALSE)*I49,"")</f>
        <v/>
      </c>
      <c r="K49" s="40"/>
      <c r="L49" s="35"/>
    </row>
    <row r="50" spans="2:12" x14ac:dyDescent="0.2">
      <c r="B50" s="35" t="s">
        <v>93</v>
      </c>
      <c r="C50" s="34"/>
      <c r="D50" s="42">
        <v>0</v>
      </c>
      <c r="E50" s="42">
        <v>0</v>
      </c>
      <c r="F50" s="42">
        <v>0</v>
      </c>
      <c r="G50" s="42">
        <v>0</v>
      </c>
      <c r="H50" s="34" t="s">
        <v>114</v>
      </c>
      <c r="I50" s="75"/>
      <c r="J50" s="40" t="str">
        <f>IFERROR(VLOOKUP(H50,$B$7:$C$17,2,FALSE)*I50,"")</f>
        <v/>
      </c>
      <c r="K50" s="40"/>
      <c r="L50" s="35"/>
    </row>
    <row r="51" spans="2:12" x14ac:dyDescent="0.2">
      <c r="B51" s="44" t="s">
        <v>98</v>
      </c>
      <c r="C51" s="45"/>
      <c r="D51" s="47"/>
      <c r="E51" s="47"/>
      <c r="F51" s="47"/>
      <c r="G51" s="47"/>
      <c r="H51" s="45"/>
      <c r="I51" s="47"/>
      <c r="J51" s="47"/>
      <c r="K51" s="47"/>
      <c r="L51" s="46"/>
    </row>
    <row r="52" spans="2:12" x14ac:dyDescent="0.2">
      <c r="B52" s="35" t="s">
        <v>99</v>
      </c>
      <c r="C52" s="34"/>
      <c r="D52" s="42">
        <v>0</v>
      </c>
      <c r="E52" s="42">
        <v>0</v>
      </c>
      <c r="F52" s="42">
        <v>0</v>
      </c>
      <c r="G52" s="42">
        <v>0</v>
      </c>
      <c r="H52" s="34" t="s">
        <v>113</v>
      </c>
      <c r="I52" s="75"/>
      <c r="J52" s="40">
        <f>IFERROR(VLOOKUP(H52,$B$7:$C$17,2,FALSE)*I52,"")</f>
        <v>0</v>
      </c>
      <c r="K52" s="40"/>
      <c r="L52" s="35"/>
    </row>
    <row r="53" spans="2:12" x14ac:dyDescent="0.2">
      <c r="B53" s="44" t="s">
        <v>196</v>
      </c>
      <c r="C53" s="45"/>
      <c r="D53" s="47"/>
      <c r="E53" s="47"/>
      <c r="F53" s="47"/>
      <c r="G53" s="47"/>
      <c r="H53" s="45"/>
      <c r="I53" s="47"/>
      <c r="J53" s="47"/>
      <c r="K53" s="47"/>
      <c r="L53" s="46"/>
    </row>
    <row r="54" spans="2:12" x14ac:dyDescent="0.2">
      <c r="B54" s="35" t="s">
        <v>99</v>
      </c>
      <c r="C54" s="34"/>
      <c r="D54" s="42"/>
      <c r="E54" s="42"/>
      <c r="F54" s="42"/>
      <c r="G54" s="42"/>
      <c r="H54" s="61" t="s">
        <v>142</v>
      </c>
      <c r="I54" s="78"/>
      <c r="J54" s="40"/>
      <c r="K54" s="40"/>
      <c r="L54" s="35"/>
    </row>
    <row r="55" spans="2:12" x14ac:dyDescent="0.2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2:12" x14ac:dyDescent="0.2">
      <c r="B56" s="107" t="s">
        <v>117</v>
      </c>
      <c r="C56" s="35" t="s">
        <v>114</v>
      </c>
      <c r="D56" s="48">
        <f t="shared" ref="D56:G66" si="10">SUMIF($C$22:$C$42,$C56,D$22:D$42)+SUMIF($C$46:$C$52,$C56,D$46:D$52)</f>
        <v>0</v>
      </c>
      <c r="E56" s="48">
        <f t="shared" si="10"/>
        <v>0</v>
      </c>
      <c r="F56" s="48">
        <f t="shared" si="10"/>
        <v>0</v>
      </c>
      <c r="G56" s="48">
        <f t="shared" si="10"/>
        <v>0</v>
      </c>
      <c r="H56" s="48"/>
      <c r="I56" s="48">
        <f t="shared" ref="I56:J65" si="11">SUMIF($H$22:$H$42,$C56,I$22:I$42)+SUMIF($H$46:$H$52,$C56,I$46:I$52)</f>
        <v>0</v>
      </c>
      <c r="J56" s="48">
        <f t="shared" si="11"/>
        <v>0</v>
      </c>
      <c r="K56" s="48"/>
      <c r="L56" s="35"/>
    </row>
    <row r="57" spans="2:12" x14ac:dyDescent="0.2">
      <c r="B57" s="108"/>
      <c r="C57" s="35" t="s">
        <v>97</v>
      </c>
      <c r="D57" s="48">
        <f t="shared" si="10"/>
        <v>0</v>
      </c>
      <c r="E57" s="48">
        <f t="shared" si="10"/>
        <v>0</v>
      </c>
      <c r="F57" s="48">
        <f t="shared" si="10"/>
        <v>0</v>
      </c>
      <c r="G57" s="48">
        <f t="shared" si="10"/>
        <v>0</v>
      </c>
      <c r="H57" s="48"/>
      <c r="I57" s="48">
        <f t="shared" si="11"/>
        <v>0</v>
      </c>
      <c r="J57" s="48">
        <f t="shared" si="11"/>
        <v>0</v>
      </c>
      <c r="K57" s="48"/>
      <c r="L57" s="35"/>
    </row>
    <row r="58" spans="2:12" x14ac:dyDescent="0.2">
      <c r="B58" s="108"/>
      <c r="C58" s="35" t="s">
        <v>106</v>
      </c>
      <c r="D58" s="48">
        <f t="shared" si="10"/>
        <v>0</v>
      </c>
      <c r="E58" s="48">
        <f t="shared" si="10"/>
        <v>0</v>
      </c>
      <c r="F58" s="48">
        <f t="shared" si="10"/>
        <v>0</v>
      </c>
      <c r="G58" s="48">
        <f t="shared" si="10"/>
        <v>0</v>
      </c>
      <c r="H58" s="48"/>
      <c r="I58" s="48">
        <f t="shared" si="11"/>
        <v>0</v>
      </c>
      <c r="J58" s="48">
        <f t="shared" si="11"/>
        <v>0</v>
      </c>
      <c r="K58" s="48"/>
      <c r="L58" s="35"/>
    </row>
    <row r="59" spans="2:12" x14ac:dyDescent="0.2">
      <c r="B59" s="108"/>
      <c r="C59" s="35" t="s">
        <v>107</v>
      </c>
      <c r="D59" s="48">
        <f t="shared" si="10"/>
        <v>0</v>
      </c>
      <c r="E59" s="48">
        <f t="shared" si="10"/>
        <v>0</v>
      </c>
      <c r="F59" s="48">
        <f t="shared" si="10"/>
        <v>0</v>
      </c>
      <c r="G59" s="48">
        <f t="shared" si="10"/>
        <v>0</v>
      </c>
      <c r="H59" s="48"/>
      <c r="I59" s="48">
        <f t="shared" si="11"/>
        <v>0</v>
      </c>
      <c r="J59" s="48">
        <f t="shared" si="11"/>
        <v>0</v>
      </c>
      <c r="K59" s="48"/>
      <c r="L59" s="35"/>
    </row>
    <row r="60" spans="2:12" x14ac:dyDescent="0.2">
      <c r="B60" s="108"/>
      <c r="C60" s="35" t="s">
        <v>108</v>
      </c>
      <c r="D60" s="48">
        <f t="shared" si="10"/>
        <v>0</v>
      </c>
      <c r="E60" s="48">
        <f t="shared" si="10"/>
        <v>0</v>
      </c>
      <c r="F60" s="48">
        <f t="shared" si="10"/>
        <v>0</v>
      </c>
      <c r="G60" s="48">
        <f t="shared" si="10"/>
        <v>0</v>
      </c>
      <c r="H60" s="48"/>
      <c r="I60" s="48">
        <f t="shared" si="11"/>
        <v>0</v>
      </c>
      <c r="J60" s="48">
        <f t="shared" si="11"/>
        <v>0</v>
      </c>
      <c r="K60" s="48"/>
      <c r="L60" s="35"/>
    </row>
    <row r="61" spans="2:12" x14ac:dyDescent="0.2">
      <c r="B61" s="108"/>
      <c r="C61" s="35" t="s">
        <v>109</v>
      </c>
      <c r="D61" s="48">
        <f t="shared" si="10"/>
        <v>0</v>
      </c>
      <c r="E61" s="48">
        <f t="shared" si="10"/>
        <v>0</v>
      </c>
      <c r="F61" s="48">
        <f t="shared" si="10"/>
        <v>0</v>
      </c>
      <c r="G61" s="48">
        <f t="shared" si="10"/>
        <v>0</v>
      </c>
      <c r="H61" s="48"/>
      <c r="I61" s="48">
        <f t="shared" si="11"/>
        <v>0</v>
      </c>
      <c r="J61" s="48">
        <f t="shared" si="11"/>
        <v>0</v>
      </c>
      <c r="K61" s="48"/>
      <c r="L61" s="35"/>
    </row>
    <row r="62" spans="2:12" x14ac:dyDescent="0.2">
      <c r="B62" s="108"/>
      <c r="C62" s="35" t="s">
        <v>110</v>
      </c>
      <c r="D62" s="48">
        <f t="shared" si="10"/>
        <v>0</v>
      </c>
      <c r="E62" s="48">
        <f t="shared" si="10"/>
        <v>0</v>
      </c>
      <c r="F62" s="48">
        <f t="shared" si="10"/>
        <v>0</v>
      </c>
      <c r="G62" s="48">
        <f t="shared" si="10"/>
        <v>0</v>
      </c>
      <c r="H62" s="48"/>
      <c r="I62" s="48">
        <f t="shared" si="11"/>
        <v>0</v>
      </c>
      <c r="J62" s="48">
        <f t="shared" si="11"/>
        <v>0</v>
      </c>
      <c r="K62" s="48"/>
      <c r="L62" s="35"/>
    </row>
    <row r="63" spans="2:12" x14ac:dyDescent="0.2">
      <c r="B63" s="108"/>
      <c r="C63" s="35" t="s">
        <v>111</v>
      </c>
      <c r="D63" s="48">
        <f t="shared" si="10"/>
        <v>0</v>
      </c>
      <c r="E63" s="48">
        <f t="shared" si="10"/>
        <v>0</v>
      </c>
      <c r="F63" s="48">
        <f t="shared" si="10"/>
        <v>0</v>
      </c>
      <c r="G63" s="48">
        <f t="shared" si="10"/>
        <v>0</v>
      </c>
      <c r="H63" s="48"/>
      <c r="I63" s="48">
        <f t="shared" si="11"/>
        <v>0</v>
      </c>
      <c r="J63" s="48">
        <f t="shared" si="11"/>
        <v>0</v>
      </c>
      <c r="K63" s="48"/>
      <c r="L63" s="35"/>
    </row>
    <row r="64" spans="2:12" x14ac:dyDescent="0.2">
      <c r="B64" s="108"/>
      <c r="C64" s="35" t="s">
        <v>112</v>
      </c>
      <c r="D64" s="48">
        <f t="shared" si="10"/>
        <v>0</v>
      </c>
      <c r="E64" s="48">
        <f t="shared" si="10"/>
        <v>0</v>
      </c>
      <c r="F64" s="48">
        <f t="shared" si="10"/>
        <v>0</v>
      </c>
      <c r="G64" s="48">
        <f t="shared" si="10"/>
        <v>0</v>
      </c>
      <c r="H64" s="48"/>
      <c r="I64" s="48">
        <f t="shared" si="11"/>
        <v>0</v>
      </c>
      <c r="J64" s="48">
        <f t="shared" si="11"/>
        <v>0</v>
      </c>
      <c r="K64" s="48"/>
      <c r="L64" s="35"/>
    </row>
    <row r="65" spans="2:12" x14ac:dyDescent="0.2">
      <c r="B65" s="108"/>
      <c r="C65" s="35" t="s">
        <v>113</v>
      </c>
      <c r="D65" s="48">
        <f t="shared" si="10"/>
        <v>0</v>
      </c>
      <c r="E65" s="48">
        <f t="shared" si="10"/>
        <v>0</v>
      </c>
      <c r="F65" s="48">
        <f t="shared" si="10"/>
        <v>0</v>
      </c>
      <c r="G65" s="48">
        <f t="shared" si="10"/>
        <v>0</v>
      </c>
      <c r="H65" s="48"/>
      <c r="I65" s="48">
        <f t="shared" si="11"/>
        <v>0</v>
      </c>
      <c r="J65" s="48">
        <f t="shared" si="11"/>
        <v>0</v>
      </c>
      <c r="K65" s="48"/>
      <c r="L65" s="35"/>
    </row>
    <row r="66" spans="2:12" x14ac:dyDescent="0.2">
      <c r="B66" s="109"/>
      <c r="C66" s="35" t="s">
        <v>143</v>
      </c>
      <c r="D66" s="48">
        <f t="shared" si="10"/>
        <v>0</v>
      </c>
      <c r="E66" s="48">
        <f t="shared" si="10"/>
        <v>0</v>
      </c>
      <c r="F66" s="48">
        <f t="shared" si="10"/>
        <v>0</v>
      </c>
      <c r="G66" s="48">
        <f t="shared" si="10"/>
        <v>0</v>
      </c>
      <c r="H66" s="48"/>
      <c r="I66" s="48">
        <f>-1*I54*I56</f>
        <v>0</v>
      </c>
      <c r="J66" s="48">
        <f>-1*I54*J56</f>
        <v>0</v>
      </c>
      <c r="K66" s="48"/>
      <c r="L66" s="35"/>
    </row>
    <row r="67" spans="2:12" x14ac:dyDescent="0.2">
      <c r="B67" s="49" t="s">
        <v>144</v>
      </c>
      <c r="C67" s="51"/>
      <c r="D67" s="50"/>
      <c r="E67" s="50"/>
      <c r="F67" s="50"/>
      <c r="G67" s="50"/>
      <c r="H67" s="50"/>
      <c r="I67" s="50">
        <f>SUM(I56:I66)</f>
        <v>0</v>
      </c>
      <c r="J67" s="50">
        <f>SUM(J56:J66)</f>
        <v>0</v>
      </c>
      <c r="K67" s="50"/>
      <c r="L67" s="51"/>
    </row>
    <row r="68" spans="2:12" x14ac:dyDescent="0.2">
      <c r="B68" s="49" t="s">
        <v>145</v>
      </c>
      <c r="C68" s="51"/>
      <c r="D68" s="50">
        <f>SUM(D56:D65)</f>
        <v>0</v>
      </c>
      <c r="E68" s="50">
        <f t="shared" ref="E68:G68" si="12">SUM(E56:E65)</f>
        <v>0</v>
      </c>
      <c r="F68" s="50">
        <f t="shared" si="12"/>
        <v>0</v>
      </c>
      <c r="G68" s="50">
        <f t="shared" si="12"/>
        <v>0</v>
      </c>
      <c r="H68" s="50"/>
      <c r="I68" s="50">
        <f>SUM(I56:I65)</f>
        <v>0</v>
      </c>
      <c r="J68" s="50">
        <f>SUM(J56:J65)</f>
        <v>0</v>
      </c>
      <c r="K68" s="50"/>
      <c r="L68" s="51"/>
    </row>
    <row r="69" spans="2:12" x14ac:dyDescent="0.2">
      <c r="B69" s="52" t="s">
        <v>126</v>
      </c>
      <c r="C69" s="53"/>
      <c r="D69" s="54"/>
      <c r="E69" s="54"/>
      <c r="F69" s="54"/>
      <c r="G69" s="54"/>
      <c r="H69" s="54"/>
      <c r="I69" s="54">
        <f>SUM(I46:I47)</f>
        <v>0</v>
      </c>
      <c r="J69" s="54">
        <f>SUM(J46:J47)</f>
        <v>0</v>
      </c>
      <c r="K69" s="54"/>
      <c r="L69" s="53"/>
    </row>
    <row r="70" spans="2:12" x14ac:dyDescent="0.2">
      <c r="B70" s="1"/>
      <c r="D70" s="1"/>
      <c r="E70" s="1"/>
      <c r="F70" s="1"/>
      <c r="G70" s="1"/>
      <c r="H70" s="1"/>
      <c r="I70" s="1"/>
      <c r="J70" s="1"/>
      <c r="K70" s="1"/>
    </row>
    <row r="71" spans="2:12" x14ac:dyDescent="0.2">
      <c r="B71" s="52" t="s">
        <v>251</v>
      </c>
      <c r="C71" s="53"/>
      <c r="D71" s="52"/>
      <c r="E71" s="52"/>
      <c r="F71" s="52"/>
      <c r="G71" s="52"/>
      <c r="H71" s="52"/>
      <c r="I71" s="52"/>
      <c r="J71" s="52"/>
      <c r="K71" s="52"/>
      <c r="L71" s="52" t="s">
        <v>252</v>
      </c>
    </row>
    <row r="72" spans="2:12" s="30" customFormat="1" x14ac:dyDescent="0.2">
      <c r="B72" s="35" t="s">
        <v>254</v>
      </c>
      <c r="C72" s="81" t="s">
        <v>114</v>
      </c>
      <c r="D72" s="85"/>
      <c r="E72" s="83"/>
      <c r="F72" s="83"/>
      <c r="G72" s="83"/>
      <c r="H72" s="81" t="s">
        <v>114</v>
      </c>
      <c r="I72" s="85"/>
      <c r="J72" s="83"/>
      <c r="K72" s="84" t="str">
        <f>IFERROR((D72-I72)/D72,"")</f>
        <v/>
      </c>
      <c r="L72" s="82"/>
    </row>
    <row r="73" spans="2:12" s="30" customFormat="1" x14ac:dyDescent="0.2"/>
    <row r="74" spans="2:12" s="30" customFormat="1" x14ac:dyDescent="0.2"/>
    <row r="75" spans="2:12" s="30" customFormat="1" x14ac:dyDescent="0.2">
      <c r="B75" s="1" t="s">
        <v>75</v>
      </c>
    </row>
    <row r="76" spans="2:12" x14ac:dyDescent="0.2">
      <c r="B76" s="89" t="s">
        <v>255</v>
      </c>
      <c r="D76" s="1"/>
      <c r="E76" s="1"/>
      <c r="F76" s="1"/>
      <c r="G76" s="1"/>
      <c r="H76" s="1"/>
      <c r="I76" s="1"/>
      <c r="J76" s="1"/>
      <c r="K76" s="1"/>
    </row>
    <row r="77" spans="2:12" x14ac:dyDescent="0.2">
      <c r="B77" t="s">
        <v>269</v>
      </c>
      <c r="C77" s="39">
        <f>D43</f>
        <v>0</v>
      </c>
      <c r="D77" t="s">
        <v>256</v>
      </c>
      <c r="E77" s="1"/>
      <c r="F77" s="1"/>
      <c r="G77" s="1"/>
      <c r="H77" s="1"/>
      <c r="I77" s="1"/>
      <c r="J77" s="1"/>
      <c r="K77" s="1"/>
    </row>
    <row r="78" spans="2:12" x14ac:dyDescent="0.2">
      <c r="B78" t="s">
        <v>130</v>
      </c>
      <c r="C78" s="40">
        <f>F43</f>
        <v>0</v>
      </c>
      <c r="D78" t="s">
        <v>256</v>
      </c>
      <c r="E78" s="1"/>
      <c r="F78" s="1"/>
      <c r="G78" s="1"/>
      <c r="H78" s="1"/>
      <c r="I78" s="1"/>
      <c r="J78" s="1"/>
      <c r="K78" s="1"/>
    </row>
    <row r="79" spans="2:12" x14ac:dyDescent="0.2">
      <c r="B79" s="30" t="s">
        <v>118</v>
      </c>
      <c r="C79" s="11" t="str">
        <f>IFERROR((C77-C78)/C77,"")</f>
        <v/>
      </c>
      <c r="D79" s="1"/>
      <c r="E79" s="1"/>
      <c r="F79" s="1"/>
      <c r="G79" s="1"/>
      <c r="H79" s="1"/>
      <c r="I79" s="1"/>
      <c r="J79" s="1"/>
      <c r="K79" s="1"/>
    </row>
    <row r="80" spans="2:12" x14ac:dyDescent="0.2">
      <c r="B80" s="30" t="s">
        <v>119</v>
      </c>
      <c r="C80" s="28" t="str">
        <f>IFERROR(MIN(C79/G80*E80,E80),"")</f>
        <v/>
      </c>
      <c r="E80">
        <f>$C$92*F80</f>
        <v>4</v>
      </c>
      <c r="F80" s="5">
        <v>0.2</v>
      </c>
      <c r="G80" s="5">
        <v>0.25</v>
      </c>
    </row>
    <row r="82" spans="2:7" x14ac:dyDescent="0.2">
      <c r="B82" t="s">
        <v>120</v>
      </c>
      <c r="C82" s="39">
        <f>0.9*E67</f>
        <v>0</v>
      </c>
      <c r="D82" t="s">
        <v>123</v>
      </c>
    </row>
    <row r="83" spans="2:7" x14ac:dyDescent="0.2">
      <c r="B83" t="s">
        <v>121</v>
      </c>
      <c r="C83" s="40">
        <f>J67</f>
        <v>0</v>
      </c>
      <c r="D83" t="s">
        <v>123</v>
      </c>
    </row>
    <row r="84" spans="2:7" x14ac:dyDescent="0.2">
      <c r="B84" t="s">
        <v>157</v>
      </c>
      <c r="C84" s="63" t="str">
        <f>IF(C83&lt;=C82,"PASS","FAIL")</f>
        <v>PASS</v>
      </c>
    </row>
    <row r="85" spans="2:7" x14ac:dyDescent="0.2">
      <c r="B85" t="s">
        <v>118</v>
      </c>
      <c r="C85" s="11" t="str">
        <f>IFERROR((C82-C83)/C82,"")</f>
        <v/>
      </c>
      <c r="D85" s="1"/>
    </row>
    <row r="86" spans="2:7" x14ac:dyDescent="0.2">
      <c r="B86" t="s">
        <v>122</v>
      </c>
      <c r="C86" s="28" t="str">
        <f>IFERROR(MIN(C85/G86*E86,E86),"")</f>
        <v/>
      </c>
      <c r="E86">
        <f>$C$92*F86</f>
        <v>16</v>
      </c>
      <c r="F86" s="5">
        <f>1-F80</f>
        <v>0.8</v>
      </c>
      <c r="G86" s="5">
        <v>1</v>
      </c>
    </row>
    <row r="88" spans="2:7" ht="25.5" x14ac:dyDescent="0.2">
      <c r="B88" s="23" t="s">
        <v>253</v>
      </c>
      <c r="C88" s="41" t="str">
        <f>IFERROR((-1*J69)/J43,"")</f>
        <v/>
      </c>
    </row>
    <row r="89" spans="2:7" x14ac:dyDescent="0.2">
      <c r="B89" t="s">
        <v>127</v>
      </c>
      <c r="C89" s="28" t="str">
        <f>IFERROR(MIN(C88/G89,1)*E89,"")</f>
        <v/>
      </c>
      <c r="E89">
        <f>$C$92*F89</f>
        <v>2</v>
      </c>
      <c r="F89" s="5">
        <v>0.1</v>
      </c>
      <c r="G89" s="5">
        <v>0.1</v>
      </c>
    </row>
    <row r="90" spans="2:7" x14ac:dyDescent="0.2">
      <c r="C90" s="86"/>
      <c r="F90" s="5"/>
      <c r="G90" s="5"/>
    </row>
    <row r="91" spans="2:7" x14ac:dyDescent="0.2">
      <c r="B91" s="1" t="s">
        <v>59</v>
      </c>
      <c r="C91" s="38">
        <f>IF(C84="FAIL",0,MIN(SUM(C80,C86,C89),C92))</f>
        <v>0</v>
      </c>
    </row>
    <row r="92" spans="2:7" x14ac:dyDescent="0.2">
      <c r="B92" s="1" t="s">
        <v>71</v>
      </c>
      <c r="C92" s="38">
        <v>20</v>
      </c>
    </row>
    <row r="93" spans="2:7" x14ac:dyDescent="0.2">
      <c r="B93" s="1"/>
      <c r="C93" s="90"/>
    </row>
    <row r="94" spans="2:7" x14ac:dyDescent="0.2">
      <c r="B94" s="1" t="s">
        <v>262</v>
      </c>
      <c r="F94" t="s">
        <v>160</v>
      </c>
      <c r="G94" t="s">
        <v>159</v>
      </c>
    </row>
    <row r="95" spans="2:7" x14ac:dyDescent="0.2">
      <c r="B95" t="s">
        <v>266</v>
      </c>
      <c r="C95" s="11" t="str">
        <f>K72</f>
        <v/>
      </c>
      <c r="E95" s="88">
        <f>C99</f>
        <v>2</v>
      </c>
      <c r="F95" s="5">
        <v>0.1</v>
      </c>
      <c r="G95" s="5">
        <v>0.3</v>
      </c>
    </row>
    <row r="96" spans="2:7" x14ac:dyDescent="0.2">
      <c r="C96" t="str">
        <f>IFERROR(IF(K73&lt;#REF!,0,MIN(F98*K73+G98,E96)),"")</f>
        <v/>
      </c>
      <c r="E96" s="88"/>
      <c r="F96" s="87">
        <f>C99/(G95-F95)</f>
        <v>10</v>
      </c>
      <c r="G96" s="87">
        <f>-1*F95*F96</f>
        <v>-1</v>
      </c>
    </row>
    <row r="97" spans="2:3" x14ac:dyDescent="0.2">
      <c r="B97" s="89" t="s">
        <v>75</v>
      </c>
      <c r="C97" s="86"/>
    </row>
    <row r="98" spans="2:3" x14ac:dyDescent="0.2">
      <c r="B98" s="1" t="s">
        <v>59</v>
      </c>
      <c r="C98" s="38">
        <f>IFERROR(IF(C95&lt;F95,0,MIN(F96*C95+G96,E95)),0)</f>
        <v>0</v>
      </c>
    </row>
    <row r="99" spans="2:3" x14ac:dyDescent="0.2">
      <c r="B99" s="1" t="s">
        <v>71</v>
      </c>
      <c r="C99" s="38">
        <v>2</v>
      </c>
    </row>
  </sheetData>
  <sheetProtection password="E6B1" sheet="1" objects="1" scenarios="1"/>
  <mergeCells count="7">
    <mergeCell ref="L19:L20"/>
    <mergeCell ref="F19:G19"/>
    <mergeCell ref="B56:B66"/>
    <mergeCell ref="K19:K20"/>
    <mergeCell ref="B2:E2"/>
    <mergeCell ref="H19:J19"/>
    <mergeCell ref="C19:E19"/>
  </mergeCells>
  <conditionalFormatting sqref="L22">
    <cfRule type="expression" dxfId="18" priority="29">
      <formula>K22&gt;0.05</formula>
    </cfRule>
  </conditionalFormatting>
  <conditionalFormatting sqref="L31">
    <cfRule type="expression" dxfId="17" priority="28">
      <formula>K31&gt;0.05</formula>
    </cfRule>
  </conditionalFormatting>
  <conditionalFormatting sqref="L38">
    <cfRule type="expression" dxfId="16" priority="27">
      <formula>K38&gt;0.05</formula>
    </cfRule>
  </conditionalFormatting>
  <conditionalFormatting sqref="L23">
    <cfRule type="expression" dxfId="15" priority="24">
      <formula>K23&gt;0.05</formula>
    </cfRule>
  </conditionalFormatting>
  <conditionalFormatting sqref="L24">
    <cfRule type="expression" dxfId="14" priority="23">
      <formula>K24&gt;0.05</formula>
    </cfRule>
  </conditionalFormatting>
  <conditionalFormatting sqref="L25">
    <cfRule type="expression" dxfId="13" priority="22">
      <formula>K25&gt;0.05</formula>
    </cfRule>
  </conditionalFormatting>
  <conditionalFormatting sqref="L26">
    <cfRule type="expression" dxfId="12" priority="21">
      <formula>K26&gt;0.05</formula>
    </cfRule>
  </conditionalFormatting>
  <conditionalFormatting sqref="L27">
    <cfRule type="expression" dxfId="11" priority="20">
      <formula>K27&gt;0.05</formula>
    </cfRule>
  </conditionalFormatting>
  <conditionalFormatting sqref="L28">
    <cfRule type="expression" dxfId="10" priority="19">
      <formula>K28&gt;0.05</formula>
    </cfRule>
  </conditionalFormatting>
  <conditionalFormatting sqref="L29">
    <cfRule type="expression" dxfId="9" priority="18">
      <formula>K29&gt;0.05</formula>
    </cfRule>
  </conditionalFormatting>
  <conditionalFormatting sqref="L32">
    <cfRule type="expression" dxfId="8" priority="17">
      <formula>K32&gt;0.05</formula>
    </cfRule>
  </conditionalFormatting>
  <conditionalFormatting sqref="L33">
    <cfRule type="expression" dxfId="7" priority="16">
      <formula>K33&gt;0.05</formula>
    </cfRule>
  </conditionalFormatting>
  <conditionalFormatting sqref="L34">
    <cfRule type="expression" dxfId="6" priority="13">
      <formula>K34&gt;0.05</formula>
    </cfRule>
  </conditionalFormatting>
  <conditionalFormatting sqref="L35">
    <cfRule type="expression" dxfId="5" priority="12">
      <formula>K35&gt;0.05</formula>
    </cfRule>
  </conditionalFormatting>
  <conditionalFormatting sqref="L36:L37">
    <cfRule type="expression" dxfId="4" priority="11">
      <formula>K36&gt;0.05</formula>
    </cfRule>
  </conditionalFormatting>
  <conditionalFormatting sqref="L39">
    <cfRule type="expression" dxfId="3" priority="10">
      <formula>K39&gt;0.05</formula>
    </cfRule>
  </conditionalFormatting>
  <conditionalFormatting sqref="L40">
    <cfRule type="expression" dxfId="2" priority="9">
      <formula>K40&gt;0.05</formula>
    </cfRule>
  </conditionalFormatting>
  <conditionalFormatting sqref="L41">
    <cfRule type="expression" dxfId="1" priority="8">
      <formula>K41&gt;0.05</formula>
    </cfRule>
  </conditionalFormatting>
  <conditionalFormatting sqref="L42">
    <cfRule type="expression" dxfId="0" priority="7">
      <formula>K42&gt;0.05</formula>
    </cfRule>
  </conditionalFormatting>
  <dataValidations count="10">
    <dataValidation type="list" allowBlank="1" showInputMessage="1" showErrorMessage="1" sqref="H46:H47 C31:C42 C22:C29 H31:H42 H22:H29 H49:H50 H52:H53">
      <formula1>Fuels</formula1>
    </dataValidation>
    <dataValidation type="decimal" allowBlank="1" showInputMessage="1" showErrorMessage="1" sqref="I46:I47 I50 I52:I53">
      <formula1>-1000000000</formula1>
      <formula2>0</formula2>
    </dataValidation>
    <dataValidation type="decimal" allowBlank="1" showInputMessage="1" showErrorMessage="1" sqref="I49">
      <formula1>0</formula1>
      <formula2>1000000000</formula2>
    </dataValidation>
    <dataValidation type="decimal" allowBlank="1" showInputMessage="1" showErrorMessage="1" promptTitle="Proportion GreenPower" prompt="Enter the proportion of the grid electricity supply which will be delivered from accredited GreenPower sources" sqref="I54">
      <formula1>0</formula1>
      <formula2>1</formula2>
    </dataValidation>
    <dataValidation type="list" allowBlank="1" showInputMessage="1" showErrorMessage="1" sqref="C4">
      <formula1>Option</formula1>
    </dataValidation>
    <dataValidation type="list" allowBlank="1" showInputMessage="1" showErrorMessage="1" sqref="C3">
      <formula1>GeoLocation</formula1>
    </dataValidation>
    <dataValidation type="textLength" operator="lessThanOrEqual" allowBlank="1" showInputMessage="1" showErrorMessage="1" sqref="L22:L29 L31:L42">
      <formula1>350</formula1>
    </dataValidation>
    <dataValidation type="decimal" allowBlank="1" showInputMessage="1" showErrorMessage="1" promptTitle="Utility Electricity" prompt="Enter the GHG intensity for electricity delivered from a shared utility service" sqref="C17">
      <formula1>0</formula1>
      <formula2>2</formula2>
    </dataValidation>
    <dataValidation type="decimal" allowBlank="1" showInputMessage="1" showErrorMessage="1" promptTitle="Utility HHW Thermal Energy" prompt="Enter the GHG intensity for HHW delivered from a shared utility service" sqref="C15:C16">
      <formula1>0</formula1>
      <formula2>0.5</formula2>
    </dataValidation>
    <dataValidation type="decimal" allowBlank="1" showInputMessage="1" showErrorMessage="1" promptTitle="Utility CHW Thermal Energy" prompt="Enter the GHG intensity for CHW delivered from a shared utility service" sqref="C14">
      <formula1>0</formula1>
      <formula2>0.5</formula2>
    </dataValidation>
  </dataValidations>
  <pageMargins left="0.7" right="0.7" top="0.75" bottom="0.75" header="0.3" footer="0.3"/>
  <pageSetup paperSize="2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C5" sqref="C5"/>
    </sheetView>
  </sheetViews>
  <sheetFormatPr defaultRowHeight="12.75" x14ac:dyDescent="0.2"/>
  <cols>
    <col min="1" max="1" width="2.5703125" customWidth="1"/>
    <col min="2" max="2" width="34.28515625" customWidth="1"/>
    <col min="6" max="6" width="13.42578125" bestFit="1" customWidth="1"/>
    <col min="9" max="9" width="13.42578125" customWidth="1"/>
  </cols>
  <sheetData>
    <row r="1" spans="1:9" ht="7.5" customHeight="1" x14ac:dyDescent="0.2"/>
    <row r="2" spans="1:9" ht="15.75" x14ac:dyDescent="0.2">
      <c r="B2" s="97" t="s">
        <v>278</v>
      </c>
    </row>
    <row r="3" spans="1:9" x14ac:dyDescent="0.2">
      <c r="C3" s="113" t="s">
        <v>260</v>
      </c>
      <c r="D3" s="112" t="s">
        <v>258</v>
      </c>
      <c r="E3" s="112"/>
      <c r="F3" s="112"/>
      <c r="G3" s="112" t="s">
        <v>259</v>
      </c>
      <c r="H3" s="112"/>
      <c r="I3" s="112"/>
    </row>
    <row r="4" spans="1:9" ht="25.5" x14ac:dyDescent="0.2">
      <c r="C4" s="114"/>
      <c r="D4" s="7" t="s">
        <v>57</v>
      </c>
      <c r="E4" s="7" t="s">
        <v>58</v>
      </c>
      <c r="F4" s="7" t="s">
        <v>60</v>
      </c>
      <c r="G4" s="23" t="s">
        <v>57</v>
      </c>
      <c r="H4" s="23" t="s">
        <v>58</v>
      </c>
      <c r="I4" s="23" t="s">
        <v>60</v>
      </c>
    </row>
    <row r="5" spans="1:9" x14ac:dyDescent="0.2">
      <c r="B5" t="s">
        <v>279</v>
      </c>
      <c r="C5" s="75">
        <v>1</v>
      </c>
      <c r="D5" s="28">
        <f>'Path 2.2. Class 2 DTS (NatHERS)'!C58</f>
        <v>10</v>
      </c>
      <c r="E5" s="28">
        <f>'Path 2.2. Class 2 DTS (NatHERS)'!C57</f>
        <v>0</v>
      </c>
      <c r="F5" s="28">
        <f>IFERROR((C5/$C$9*D5)*(E5/D5),"ERROR")</f>
        <v>0</v>
      </c>
      <c r="G5" s="28">
        <f>'Path 2.2. Class 2 DTS (NatHERS)'!C69</f>
        <v>1</v>
      </c>
      <c r="H5" s="28">
        <f>'Path 2.2. Class 2 DTS (NatHERS)'!C68</f>
        <v>0</v>
      </c>
      <c r="I5" s="28">
        <f>IFERROR((C5/$C$9*G5)*(H5/G5),"ERROR")</f>
        <v>0</v>
      </c>
    </row>
    <row r="6" spans="1:9" x14ac:dyDescent="0.2">
      <c r="B6" t="s">
        <v>284</v>
      </c>
      <c r="C6" s="75">
        <v>1</v>
      </c>
      <c r="D6" s="28">
        <f>'Path 1. Class3-9 DTS'!C31</f>
        <v>5</v>
      </c>
      <c r="E6" s="28">
        <f>'Path 1. Class3-9 DTS'!C30</f>
        <v>0</v>
      </c>
      <c r="F6" s="28">
        <f>IFERROR((C6/$C$9*D6)*(E6/D6),"ERROR")</f>
        <v>0</v>
      </c>
      <c r="G6" s="28">
        <f>'Path 1. Class3-9 DTS'!C42</f>
        <v>1</v>
      </c>
      <c r="H6" s="28">
        <f>'Path 1. Class3-9 DTS'!C41</f>
        <v>0</v>
      </c>
      <c r="I6" s="28">
        <f t="shared" ref="I6:I8" si="0">IFERROR((C6/$C$9*G6)*(H6/G6),"ERROR")</f>
        <v>0</v>
      </c>
    </row>
    <row r="7" spans="1:9" x14ac:dyDescent="0.2">
      <c r="B7" t="s">
        <v>280</v>
      </c>
      <c r="C7" s="75">
        <v>1</v>
      </c>
      <c r="D7" s="28">
        <f>'Path 2.1. Class 5 DTS (NABERS)'!G27</f>
        <v>12</v>
      </c>
      <c r="E7" s="28">
        <f>'Path 2.1. Class 5 DTS (NABERS)'!G26</f>
        <v>0</v>
      </c>
      <c r="F7" s="28">
        <f>IFERROR((C7/$C$9*D7)*(E7/D7),"ERROR")</f>
        <v>0</v>
      </c>
      <c r="G7" s="28">
        <f>'Path 2.1. Class 5 DTS (NABERS)'!G35</f>
        <v>0</v>
      </c>
      <c r="H7" s="28">
        <f>'Path 2.1. Class 5 DTS (NABERS)'!G34</f>
        <v>0</v>
      </c>
      <c r="I7" s="28">
        <f>IFERROR((C7/$C$9*0),"ERROR")</f>
        <v>0</v>
      </c>
    </row>
    <row r="8" spans="1:9" x14ac:dyDescent="0.2">
      <c r="B8" t="s">
        <v>281</v>
      </c>
      <c r="C8" s="75">
        <v>1</v>
      </c>
      <c r="D8" s="28">
        <f>'Path 2.3 Class2-9 Ref. Building'!C92</f>
        <v>20</v>
      </c>
      <c r="E8" s="28">
        <f>'Path 2.3 Class2-9 Ref. Building'!C91</f>
        <v>0</v>
      </c>
      <c r="F8" s="28">
        <f>IFERROR((C8/$C$9*D8)*(E8/D8),"ERROR")</f>
        <v>0</v>
      </c>
      <c r="G8" s="28">
        <f>'Path 2.3 Class2-9 Ref. Building'!C99</f>
        <v>2</v>
      </c>
      <c r="H8" s="28">
        <f>'Path 2.3 Class2-9 Ref. Building'!C98</f>
        <v>0</v>
      </c>
      <c r="I8" s="28">
        <f t="shared" si="0"/>
        <v>0</v>
      </c>
    </row>
    <row r="9" spans="1:9" x14ac:dyDescent="0.2">
      <c r="B9" s="1" t="s">
        <v>59</v>
      </c>
      <c r="C9" s="9">
        <f>SUM(C5:C8)</f>
        <v>4</v>
      </c>
      <c r="D9" s="1"/>
      <c r="E9" s="10"/>
      <c r="F9" s="10">
        <f>SUM(F5:F8)</f>
        <v>0</v>
      </c>
      <c r="G9" s="1"/>
      <c r="H9" s="10"/>
      <c r="I9" s="10">
        <f>SUM(I5:I8)</f>
        <v>0</v>
      </c>
    </row>
    <row r="12" spans="1:9" x14ac:dyDescent="0.2">
      <c r="A12">
        <v>1</v>
      </c>
      <c r="B12" t="s">
        <v>271</v>
      </c>
    </row>
    <row r="13" spans="1:9" x14ac:dyDescent="0.2">
      <c r="A13">
        <v>2</v>
      </c>
      <c r="B13" t="s">
        <v>272</v>
      </c>
    </row>
  </sheetData>
  <sheetProtection password="E6B1" sheet="1" objects="1" scenarios="1"/>
  <mergeCells count="3">
    <mergeCell ref="D3:F3"/>
    <mergeCell ref="G3:I3"/>
    <mergeCell ref="C3:C4"/>
  </mergeCells>
  <pageMargins left="0.7" right="0.7" top="0.75" bottom="0.75" header="0.3" footer="0.3"/>
  <pageSetup paperSize="2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3"/>
  <sheetViews>
    <sheetView workbookViewId="0">
      <selection activeCell="B4" sqref="B4"/>
    </sheetView>
  </sheetViews>
  <sheetFormatPr defaultRowHeight="12.75" x14ac:dyDescent="0.2"/>
  <cols>
    <col min="1" max="1" width="1.42578125" customWidth="1"/>
    <col min="2" max="2" width="26.42578125" customWidth="1"/>
    <col min="3" max="3" width="55.85546875" bestFit="1" customWidth="1"/>
    <col min="4" max="4" width="12.7109375" bestFit="1" customWidth="1"/>
    <col min="5" max="5" width="17.5703125" bestFit="1" customWidth="1"/>
    <col min="6" max="6" width="18.7109375" bestFit="1" customWidth="1"/>
  </cols>
  <sheetData>
    <row r="1" spans="2:6" ht="7.5" customHeight="1" x14ac:dyDescent="0.2"/>
    <row r="2" spans="2:6" x14ac:dyDescent="0.2">
      <c r="B2" s="105" t="s">
        <v>164</v>
      </c>
      <c r="C2" s="105" t="s">
        <v>165</v>
      </c>
      <c r="D2" s="43" t="s">
        <v>174</v>
      </c>
      <c r="E2" s="43" t="s">
        <v>166</v>
      </c>
      <c r="F2" s="43" t="s">
        <v>167</v>
      </c>
    </row>
    <row r="3" spans="2:6" ht="14.25" x14ac:dyDescent="0.25">
      <c r="B3" s="110"/>
      <c r="C3" s="110"/>
      <c r="D3" s="68" t="s">
        <v>55</v>
      </c>
      <c r="E3" s="68" t="s">
        <v>175</v>
      </c>
      <c r="F3" s="68" t="s">
        <v>176</v>
      </c>
    </row>
    <row r="4" spans="2:6" x14ac:dyDescent="0.2">
      <c r="B4" s="69"/>
      <c r="C4" s="33"/>
      <c r="D4" s="33"/>
      <c r="E4" s="27">
        <f t="shared" ref="E4:E35" si="0">IFERROR(VLOOKUP(C4,SynthGHGRate,2,FALSE),0)</f>
        <v>0</v>
      </c>
      <c r="F4" s="27">
        <f>IFERROR(E4*D4,0)</f>
        <v>0</v>
      </c>
    </row>
    <row r="5" spans="2:6" x14ac:dyDescent="0.2">
      <c r="B5" s="69"/>
      <c r="C5" s="33"/>
      <c r="D5" s="33"/>
      <c r="E5" s="27">
        <f t="shared" si="0"/>
        <v>0</v>
      </c>
      <c r="F5" s="27">
        <f t="shared" ref="F5:F52" si="1">IFERROR(E5*D5,0)</f>
        <v>0</v>
      </c>
    </row>
    <row r="6" spans="2:6" x14ac:dyDescent="0.2">
      <c r="B6" s="69"/>
      <c r="C6" s="33"/>
      <c r="D6" s="33"/>
      <c r="E6" s="27">
        <f t="shared" si="0"/>
        <v>0</v>
      </c>
      <c r="F6" s="27">
        <f t="shared" si="1"/>
        <v>0</v>
      </c>
    </row>
    <row r="7" spans="2:6" x14ac:dyDescent="0.2">
      <c r="B7" s="69"/>
      <c r="C7" s="33"/>
      <c r="D7" s="33"/>
      <c r="E7" s="27">
        <f t="shared" si="0"/>
        <v>0</v>
      </c>
      <c r="F7" s="27">
        <f t="shared" si="1"/>
        <v>0</v>
      </c>
    </row>
    <row r="8" spans="2:6" x14ac:dyDescent="0.2">
      <c r="B8" s="69"/>
      <c r="C8" s="33"/>
      <c r="D8" s="33"/>
      <c r="E8" s="27">
        <f t="shared" si="0"/>
        <v>0</v>
      </c>
      <c r="F8" s="27">
        <f t="shared" si="1"/>
        <v>0</v>
      </c>
    </row>
    <row r="9" spans="2:6" x14ac:dyDescent="0.2">
      <c r="B9" s="69"/>
      <c r="C9" s="33"/>
      <c r="D9" s="33"/>
      <c r="E9" s="27">
        <f t="shared" si="0"/>
        <v>0</v>
      </c>
      <c r="F9" s="27">
        <f t="shared" si="1"/>
        <v>0</v>
      </c>
    </row>
    <row r="10" spans="2:6" x14ac:dyDescent="0.2">
      <c r="B10" s="69"/>
      <c r="C10" s="33"/>
      <c r="D10" s="33"/>
      <c r="E10" s="27">
        <f t="shared" si="0"/>
        <v>0</v>
      </c>
      <c r="F10" s="27">
        <f t="shared" si="1"/>
        <v>0</v>
      </c>
    </row>
    <row r="11" spans="2:6" x14ac:dyDescent="0.2">
      <c r="B11" s="69"/>
      <c r="C11" s="33"/>
      <c r="D11" s="33"/>
      <c r="E11" s="27">
        <f t="shared" si="0"/>
        <v>0</v>
      </c>
      <c r="F11" s="27">
        <f t="shared" si="1"/>
        <v>0</v>
      </c>
    </row>
    <row r="12" spans="2:6" x14ac:dyDescent="0.2">
      <c r="B12" s="69"/>
      <c r="C12" s="33"/>
      <c r="D12" s="33"/>
      <c r="E12" s="27">
        <f t="shared" si="0"/>
        <v>0</v>
      </c>
      <c r="F12" s="27">
        <f t="shared" si="1"/>
        <v>0</v>
      </c>
    </row>
    <row r="13" spans="2:6" x14ac:dyDescent="0.2">
      <c r="B13" s="69"/>
      <c r="C13" s="33"/>
      <c r="D13" s="33"/>
      <c r="E13" s="27">
        <f t="shared" si="0"/>
        <v>0</v>
      </c>
      <c r="F13" s="27">
        <f t="shared" si="1"/>
        <v>0</v>
      </c>
    </row>
    <row r="14" spans="2:6" x14ac:dyDescent="0.2">
      <c r="B14" s="69"/>
      <c r="C14" s="33"/>
      <c r="D14" s="33"/>
      <c r="E14" s="27">
        <f t="shared" si="0"/>
        <v>0</v>
      </c>
      <c r="F14" s="27">
        <f t="shared" si="1"/>
        <v>0</v>
      </c>
    </row>
    <row r="15" spans="2:6" x14ac:dyDescent="0.2">
      <c r="B15" s="69"/>
      <c r="C15" s="33"/>
      <c r="D15" s="33"/>
      <c r="E15" s="27">
        <f t="shared" si="0"/>
        <v>0</v>
      </c>
      <c r="F15" s="27">
        <f t="shared" si="1"/>
        <v>0</v>
      </c>
    </row>
    <row r="16" spans="2:6" x14ac:dyDescent="0.2">
      <c r="B16" s="69"/>
      <c r="C16" s="33"/>
      <c r="D16" s="33"/>
      <c r="E16" s="27">
        <f t="shared" si="0"/>
        <v>0</v>
      </c>
      <c r="F16" s="27">
        <f t="shared" si="1"/>
        <v>0</v>
      </c>
    </row>
    <row r="17" spans="2:6" x14ac:dyDescent="0.2">
      <c r="B17" s="69"/>
      <c r="C17" s="33"/>
      <c r="D17" s="33"/>
      <c r="E17" s="27">
        <f t="shared" si="0"/>
        <v>0</v>
      </c>
      <c r="F17" s="27">
        <f t="shared" si="1"/>
        <v>0</v>
      </c>
    </row>
    <row r="18" spans="2:6" x14ac:dyDescent="0.2">
      <c r="B18" s="69"/>
      <c r="C18" s="33"/>
      <c r="D18" s="33"/>
      <c r="E18" s="27">
        <f t="shared" si="0"/>
        <v>0</v>
      </c>
      <c r="F18" s="27">
        <f t="shared" si="1"/>
        <v>0</v>
      </c>
    </row>
    <row r="19" spans="2:6" x14ac:dyDescent="0.2">
      <c r="B19" s="69"/>
      <c r="C19" s="33"/>
      <c r="D19" s="33"/>
      <c r="E19" s="27">
        <f t="shared" si="0"/>
        <v>0</v>
      </c>
      <c r="F19" s="27">
        <f t="shared" si="1"/>
        <v>0</v>
      </c>
    </row>
    <row r="20" spans="2:6" x14ac:dyDescent="0.2">
      <c r="B20" s="69"/>
      <c r="C20" s="33"/>
      <c r="D20" s="33"/>
      <c r="E20" s="27">
        <f t="shared" si="0"/>
        <v>0</v>
      </c>
      <c r="F20" s="27">
        <f t="shared" si="1"/>
        <v>0</v>
      </c>
    </row>
    <row r="21" spans="2:6" x14ac:dyDescent="0.2">
      <c r="B21" s="69"/>
      <c r="C21" s="33"/>
      <c r="D21" s="33"/>
      <c r="E21" s="27">
        <f t="shared" si="0"/>
        <v>0</v>
      </c>
      <c r="F21" s="27">
        <f t="shared" si="1"/>
        <v>0</v>
      </c>
    </row>
    <row r="22" spans="2:6" x14ac:dyDescent="0.2">
      <c r="B22" s="69"/>
      <c r="C22" s="33"/>
      <c r="D22" s="33"/>
      <c r="E22" s="27">
        <f t="shared" si="0"/>
        <v>0</v>
      </c>
      <c r="F22" s="27">
        <f t="shared" si="1"/>
        <v>0</v>
      </c>
    </row>
    <row r="23" spans="2:6" x14ac:dyDescent="0.2">
      <c r="B23" s="69"/>
      <c r="C23" s="33"/>
      <c r="D23" s="33"/>
      <c r="E23" s="27">
        <f t="shared" si="0"/>
        <v>0</v>
      </c>
      <c r="F23" s="27">
        <f t="shared" si="1"/>
        <v>0</v>
      </c>
    </row>
    <row r="24" spans="2:6" x14ac:dyDescent="0.2">
      <c r="B24" s="69"/>
      <c r="C24" s="33"/>
      <c r="D24" s="33"/>
      <c r="E24" s="27">
        <f t="shared" si="0"/>
        <v>0</v>
      </c>
      <c r="F24" s="27">
        <f t="shared" si="1"/>
        <v>0</v>
      </c>
    </row>
    <row r="25" spans="2:6" x14ac:dyDescent="0.2">
      <c r="B25" s="69"/>
      <c r="C25" s="33"/>
      <c r="D25" s="33"/>
      <c r="E25" s="27">
        <f t="shared" si="0"/>
        <v>0</v>
      </c>
      <c r="F25" s="27">
        <f t="shared" si="1"/>
        <v>0</v>
      </c>
    </row>
    <row r="26" spans="2:6" x14ac:dyDescent="0.2">
      <c r="B26" s="69"/>
      <c r="C26" s="33"/>
      <c r="D26" s="33"/>
      <c r="E26" s="27">
        <f t="shared" si="0"/>
        <v>0</v>
      </c>
      <c r="F26" s="27">
        <f t="shared" si="1"/>
        <v>0</v>
      </c>
    </row>
    <row r="27" spans="2:6" x14ac:dyDescent="0.2">
      <c r="B27" s="69"/>
      <c r="C27" s="33"/>
      <c r="D27" s="33"/>
      <c r="E27" s="27">
        <f t="shared" si="0"/>
        <v>0</v>
      </c>
      <c r="F27" s="27">
        <f t="shared" si="1"/>
        <v>0</v>
      </c>
    </row>
    <row r="28" spans="2:6" x14ac:dyDescent="0.2">
      <c r="B28" s="69"/>
      <c r="C28" s="33"/>
      <c r="D28" s="33"/>
      <c r="E28" s="27">
        <f t="shared" si="0"/>
        <v>0</v>
      </c>
      <c r="F28" s="27">
        <f t="shared" si="1"/>
        <v>0</v>
      </c>
    </row>
    <row r="29" spans="2:6" x14ac:dyDescent="0.2">
      <c r="B29" s="69"/>
      <c r="C29" s="33"/>
      <c r="D29" s="33"/>
      <c r="E29" s="27">
        <f t="shared" si="0"/>
        <v>0</v>
      </c>
      <c r="F29" s="27">
        <f t="shared" si="1"/>
        <v>0</v>
      </c>
    </row>
    <row r="30" spans="2:6" x14ac:dyDescent="0.2">
      <c r="B30" s="69"/>
      <c r="C30" s="33"/>
      <c r="D30" s="33"/>
      <c r="E30" s="27">
        <f t="shared" si="0"/>
        <v>0</v>
      </c>
      <c r="F30" s="27">
        <f t="shared" si="1"/>
        <v>0</v>
      </c>
    </row>
    <row r="31" spans="2:6" x14ac:dyDescent="0.2">
      <c r="B31" s="69"/>
      <c r="C31" s="33"/>
      <c r="D31" s="33"/>
      <c r="E31" s="27">
        <f t="shared" si="0"/>
        <v>0</v>
      </c>
      <c r="F31" s="27">
        <f t="shared" si="1"/>
        <v>0</v>
      </c>
    </row>
    <row r="32" spans="2:6" x14ac:dyDescent="0.2">
      <c r="B32" s="69"/>
      <c r="C32" s="33"/>
      <c r="D32" s="33"/>
      <c r="E32" s="27">
        <f t="shared" si="0"/>
        <v>0</v>
      </c>
      <c r="F32" s="27">
        <f t="shared" si="1"/>
        <v>0</v>
      </c>
    </row>
    <row r="33" spans="2:6" x14ac:dyDescent="0.2">
      <c r="B33" s="69"/>
      <c r="C33" s="33"/>
      <c r="D33" s="33"/>
      <c r="E33" s="27">
        <f t="shared" si="0"/>
        <v>0</v>
      </c>
      <c r="F33" s="27">
        <f t="shared" si="1"/>
        <v>0</v>
      </c>
    </row>
    <row r="34" spans="2:6" x14ac:dyDescent="0.2">
      <c r="B34" s="69"/>
      <c r="C34" s="33"/>
      <c r="D34" s="33"/>
      <c r="E34" s="27">
        <f t="shared" si="0"/>
        <v>0</v>
      </c>
      <c r="F34" s="27">
        <f t="shared" si="1"/>
        <v>0</v>
      </c>
    </row>
    <row r="35" spans="2:6" x14ac:dyDescent="0.2">
      <c r="B35" s="69"/>
      <c r="C35" s="33"/>
      <c r="D35" s="33"/>
      <c r="E35" s="27">
        <f t="shared" si="0"/>
        <v>0</v>
      </c>
      <c r="F35" s="27">
        <f t="shared" si="1"/>
        <v>0</v>
      </c>
    </row>
    <row r="36" spans="2:6" x14ac:dyDescent="0.2">
      <c r="B36" s="69"/>
      <c r="C36" s="33"/>
      <c r="D36" s="33"/>
      <c r="E36" s="27">
        <f t="shared" ref="E36:E52" si="2">IFERROR(VLOOKUP(C36,SynthGHGRate,2,FALSE),0)</f>
        <v>0</v>
      </c>
      <c r="F36" s="27">
        <f t="shared" si="1"/>
        <v>0</v>
      </c>
    </row>
    <row r="37" spans="2:6" x14ac:dyDescent="0.2">
      <c r="B37" s="69"/>
      <c r="C37" s="33"/>
      <c r="D37" s="33"/>
      <c r="E37" s="27">
        <f t="shared" si="2"/>
        <v>0</v>
      </c>
      <c r="F37" s="27">
        <f t="shared" si="1"/>
        <v>0</v>
      </c>
    </row>
    <row r="38" spans="2:6" x14ac:dyDescent="0.2">
      <c r="B38" s="69"/>
      <c r="C38" s="33"/>
      <c r="D38" s="33"/>
      <c r="E38" s="27">
        <f t="shared" si="2"/>
        <v>0</v>
      </c>
      <c r="F38" s="27">
        <f t="shared" si="1"/>
        <v>0</v>
      </c>
    </row>
    <row r="39" spans="2:6" x14ac:dyDescent="0.2">
      <c r="B39" s="69"/>
      <c r="C39" s="33"/>
      <c r="D39" s="33"/>
      <c r="E39" s="27">
        <f t="shared" si="2"/>
        <v>0</v>
      </c>
      <c r="F39" s="27">
        <f t="shared" si="1"/>
        <v>0</v>
      </c>
    </row>
    <row r="40" spans="2:6" x14ac:dyDescent="0.2">
      <c r="B40" s="69"/>
      <c r="C40" s="33"/>
      <c r="D40" s="33"/>
      <c r="E40" s="27">
        <f t="shared" si="2"/>
        <v>0</v>
      </c>
      <c r="F40" s="27">
        <f t="shared" si="1"/>
        <v>0</v>
      </c>
    </row>
    <row r="41" spans="2:6" x14ac:dyDescent="0.2">
      <c r="B41" s="69"/>
      <c r="C41" s="33"/>
      <c r="D41" s="33"/>
      <c r="E41" s="27">
        <f t="shared" si="2"/>
        <v>0</v>
      </c>
      <c r="F41" s="27">
        <f t="shared" si="1"/>
        <v>0</v>
      </c>
    </row>
    <row r="42" spans="2:6" x14ac:dyDescent="0.2">
      <c r="B42" s="69"/>
      <c r="C42" s="33"/>
      <c r="D42" s="33"/>
      <c r="E42" s="27">
        <f t="shared" si="2"/>
        <v>0</v>
      </c>
      <c r="F42" s="27">
        <f t="shared" si="1"/>
        <v>0</v>
      </c>
    </row>
    <row r="43" spans="2:6" x14ac:dyDescent="0.2">
      <c r="B43" s="69"/>
      <c r="C43" s="33"/>
      <c r="D43" s="33"/>
      <c r="E43" s="27">
        <f t="shared" si="2"/>
        <v>0</v>
      </c>
      <c r="F43" s="27">
        <f t="shared" si="1"/>
        <v>0</v>
      </c>
    </row>
    <row r="44" spans="2:6" x14ac:dyDescent="0.2">
      <c r="B44" s="69"/>
      <c r="C44" s="33"/>
      <c r="D44" s="33"/>
      <c r="E44" s="27">
        <f t="shared" si="2"/>
        <v>0</v>
      </c>
      <c r="F44" s="27">
        <f t="shared" si="1"/>
        <v>0</v>
      </c>
    </row>
    <row r="45" spans="2:6" x14ac:dyDescent="0.2">
      <c r="B45" s="69"/>
      <c r="C45" s="33"/>
      <c r="D45" s="33"/>
      <c r="E45" s="27">
        <f t="shared" si="2"/>
        <v>0</v>
      </c>
      <c r="F45" s="27">
        <f t="shared" si="1"/>
        <v>0</v>
      </c>
    </row>
    <row r="46" spans="2:6" x14ac:dyDescent="0.2">
      <c r="B46" s="69"/>
      <c r="C46" s="33"/>
      <c r="D46" s="33"/>
      <c r="E46" s="27">
        <f t="shared" si="2"/>
        <v>0</v>
      </c>
      <c r="F46" s="27">
        <f t="shared" si="1"/>
        <v>0</v>
      </c>
    </row>
    <row r="47" spans="2:6" x14ac:dyDescent="0.2">
      <c r="B47" s="69"/>
      <c r="C47" s="33"/>
      <c r="D47" s="33"/>
      <c r="E47" s="27">
        <f t="shared" si="2"/>
        <v>0</v>
      </c>
      <c r="F47" s="27">
        <f t="shared" si="1"/>
        <v>0</v>
      </c>
    </row>
    <row r="48" spans="2:6" x14ac:dyDescent="0.2">
      <c r="B48" s="69"/>
      <c r="C48" s="33"/>
      <c r="D48" s="33"/>
      <c r="E48" s="27">
        <f t="shared" si="2"/>
        <v>0</v>
      </c>
      <c r="F48" s="27">
        <f t="shared" si="1"/>
        <v>0</v>
      </c>
    </row>
    <row r="49" spans="2:6" x14ac:dyDescent="0.2">
      <c r="B49" s="69"/>
      <c r="C49" s="33"/>
      <c r="D49" s="33"/>
      <c r="E49" s="27">
        <f t="shared" si="2"/>
        <v>0</v>
      </c>
      <c r="F49" s="27">
        <f t="shared" si="1"/>
        <v>0</v>
      </c>
    </row>
    <row r="50" spans="2:6" x14ac:dyDescent="0.2">
      <c r="B50" s="69"/>
      <c r="C50" s="33"/>
      <c r="D50" s="33"/>
      <c r="E50" s="27">
        <f t="shared" si="2"/>
        <v>0</v>
      </c>
      <c r="F50" s="27">
        <f t="shared" si="1"/>
        <v>0</v>
      </c>
    </row>
    <row r="51" spans="2:6" x14ac:dyDescent="0.2">
      <c r="B51" s="69"/>
      <c r="C51" s="33"/>
      <c r="D51" s="33"/>
      <c r="E51" s="27">
        <f t="shared" si="2"/>
        <v>0</v>
      </c>
      <c r="F51" s="27">
        <f t="shared" si="1"/>
        <v>0</v>
      </c>
    </row>
    <row r="52" spans="2:6" x14ac:dyDescent="0.2">
      <c r="B52" s="69"/>
      <c r="C52" s="33"/>
      <c r="D52" s="33"/>
      <c r="E52" s="27">
        <f t="shared" si="2"/>
        <v>0</v>
      </c>
      <c r="F52" s="27">
        <f t="shared" si="1"/>
        <v>0</v>
      </c>
    </row>
    <row r="53" spans="2:6" x14ac:dyDescent="0.2">
      <c r="F53" s="70">
        <f>SUM(F4:F52)</f>
        <v>0</v>
      </c>
    </row>
  </sheetData>
  <sheetProtection password="E6B1" sheet="1" objects="1" scenarios="1"/>
  <mergeCells count="2">
    <mergeCell ref="B2:B3"/>
    <mergeCell ref="C2:C3"/>
  </mergeCells>
  <dataValidations count="1">
    <dataValidation type="list" allowBlank="1" showInputMessage="1" showErrorMessage="1" sqref="C4:C52">
      <formula1>SynthGHGSource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72"/>
  <sheetViews>
    <sheetView workbookViewId="0">
      <pane ySplit="3" topLeftCell="A4" activePane="bottomLeft" state="frozen"/>
      <selection pane="bottomLeft" activeCell="Q9" sqref="Q9"/>
    </sheetView>
  </sheetViews>
  <sheetFormatPr defaultRowHeight="12.75" x14ac:dyDescent="0.2"/>
  <cols>
    <col min="1" max="1" width="1.42578125" customWidth="1"/>
    <col min="2" max="2" width="7.5703125" customWidth="1"/>
    <col min="3" max="3" width="15.42578125" customWidth="1"/>
    <col min="4" max="23" width="5.28515625" customWidth="1"/>
    <col min="31" max="31" width="55.85546875" bestFit="1" customWidth="1"/>
    <col min="32" max="32" width="11.7109375" bestFit="1" customWidth="1"/>
  </cols>
  <sheetData>
    <row r="1" spans="2:32" ht="7.5" customHeight="1" x14ac:dyDescent="0.2"/>
    <row r="2" spans="2:32" x14ac:dyDescent="0.2">
      <c r="B2" s="116" t="s">
        <v>5</v>
      </c>
      <c r="C2" s="115" t="s">
        <v>21</v>
      </c>
      <c r="D2" s="115" t="s">
        <v>22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C2" t="s">
        <v>155</v>
      </c>
      <c r="AD2" t="s">
        <v>156</v>
      </c>
      <c r="AE2" t="s">
        <v>172</v>
      </c>
      <c r="AF2" t="s">
        <v>173</v>
      </c>
    </row>
    <row r="3" spans="2:32" x14ac:dyDescent="0.2">
      <c r="B3" s="116"/>
      <c r="C3" s="115"/>
      <c r="D3" s="2">
        <v>0.5</v>
      </c>
      <c r="E3" s="2">
        <v>1</v>
      </c>
      <c r="F3" s="2">
        <v>1.5</v>
      </c>
      <c r="G3" s="2">
        <v>2</v>
      </c>
      <c r="H3" s="2">
        <v>2.5</v>
      </c>
      <c r="I3" s="2">
        <v>3</v>
      </c>
      <c r="J3" s="2">
        <v>3.5</v>
      </c>
      <c r="K3" s="2">
        <v>4</v>
      </c>
      <c r="L3" s="2">
        <v>4.5</v>
      </c>
      <c r="M3" s="2">
        <v>5</v>
      </c>
      <c r="N3" s="2">
        <v>5.5</v>
      </c>
      <c r="O3" s="2">
        <v>6</v>
      </c>
      <c r="P3" s="2">
        <v>6.5</v>
      </c>
      <c r="Q3" s="2">
        <v>7</v>
      </c>
      <c r="R3" s="2">
        <v>7.5</v>
      </c>
      <c r="S3" s="2">
        <v>8</v>
      </c>
      <c r="T3" s="2">
        <v>8.5</v>
      </c>
      <c r="U3" s="2">
        <v>9</v>
      </c>
      <c r="V3" s="2">
        <v>9.5</v>
      </c>
      <c r="W3" s="2">
        <v>10</v>
      </c>
      <c r="X3" s="2">
        <v>0.5</v>
      </c>
      <c r="Y3">
        <v>0</v>
      </c>
      <c r="Z3" t="s">
        <v>73</v>
      </c>
      <c r="AB3" t="s">
        <v>147</v>
      </c>
      <c r="AC3">
        <v>1.05</v>
      </c>
      <c r="AD3">
        <f>64.13/1000</f>
        <v>6.4129999999999993E-2</v>
      </c>
      <c r="AE3" t="s">
        <v>168</v>
      </c>
      <c r="AF3">
        <v>0.09</v>
      </c>
    </row>
    <row r="4" spans="2:32" x14ac:dyDescent="0.2">
      <c r="B4" s="30">
        <v>1</v>
      </c>
      <c r="C4" t="s">
        <v>23</v>
      </c>
      <c r="D4">
        <v>853</v>
      </c>
      <c r="E4">
        <v>773</v>
      </c>
      <c r="F4">
        <v>706</v>
      </c>
      <c r="G4">
        <v>648</v>
      </c>
      <c r="H4">
        <v>598</v>
      </c>
      <c r="I4">
        <v>555</v>
      </c>
      <c r="J4">
        <v>516</v>
      </c>
      <c r="K4">
        <v>480</v>
      </c>
      <c r="L4">
        <v>446</v>
      </c>
      <c r="M4">
        <v>413</v>
      </c>
      <c r="N4">
        <v>381</v>
      </c>
      <c r="O4">
        <v>349</v>
      </c>
      <c r="P4">
        <v>317</v>
      </c>
      <c r="Q4">
        <v>285</v>
      </c>
      <c r="R4">
        <v>253</v>
      </c>
      <c r="S4">
        <v>222</v>
      </c>
      <c r="T4">
        <v>192</v>
      </c>
      <c r="U4">
        <v>164</v>
      </c>
      <c r="V4">
        <v>140</v>
      </c>
      <c r="W4">
        <v>119</v>
      </c>
      <c r="X4">
        <v>1</v>
      </c>
      <c r="Y4">
        <v>0.5</v>
      </c>
      <c r="Z4" t="s">
        <v>74</v>
      </c>
      <c r="AB4" t="s">
        <v>148</v>
      </c>
      <c r="AC4">
        <v>1.05</v>
      </c>
      <c r="AD4">
        <f>64.13/1000</f>
        <v>6.4129999999999993E-2</v>
      </c>
      <c r="AE4" t="s">
        <v>169</v>
      </c>
      <c r="AF4">
        <v>0.23</v>
      </c>
    </row>
    <row r="5" spans="2:32" x14ac:dyDescent="0.2">
      <c r="B5" s="30">
        <v>2</v>
      </c>
      <c r="C5" t="s">
        <v>24</v>
      </c>
      <c r="D5">
        <v>643</v>
      </c>
      <c r="E5">
        <v>569</v>
      </c>
      <c r="F5">
        <v>507</v>
      </c>
      <c r="G5">
        <v>455</v>
      </c>
      <c r="H5">
        <v>411</v>
      </c>
      <c r="I5">
        <v>373</v>
      </c>
      <c r="J5">
        <v>340</v>
      </c>
      <c r="K5">
        <v>310</v>
      </c>
      <c r="L5">
        <v>284</v>
      </c>
      <c r="M5">
        <v>260</v>
      </c>
      <c r="N5">
        <v>237</v>
      </c>
      <c r="O5">
        <v>215</v>
      </c>
      <c r="P5">
        <v>194</v>
      </c>
      <c r="Q5">
        <v>172</v>
      </c>
      <c r="R5">
        <v>151</v>
      </c>
      <c r="S5">
        <v>131</v>
      </c>
      <c r="T5">
        <v>111</v>
      </c>
      <c r="U5">
        <v>93</v>
      </c>
      <c r="V5">
        <v>76</v>
      </c>
      <c r="W5">
        <v>62</v>
      </c>
      <c r="X5" s="2">
        <v>1.5</v>
      </c>
      <c r="Y5">
        <v>1</v>
      </c>
      <c r="Z5" t="s">
        <v>161</v>
      </c>
      <c r="AB5" t="s">
        <v>149</v>
      </c>
      <c r="AC5">
        <v>0.77</v>
      </c>
      <c r="AD5">
        <f>51.33/1000</f>
        <v>5.1330000000000001E-2</v>
      </c>
      <c r="AE5" t="s">
        <v>170</v>
      </c>
      <c r="AF5">
        <v>0.16</v>
      </c>
    </row>
    <row r="6" spans="2:32" x14ac:dyDescent="0.2">
      <c r="B6" s="30">
        <v>3</v>
      </c>
      <c r="C6" t="s">
        <v>25</v>
      </c>
      <c r="D6">
        <v>654</v>
      </c>
      <c r="E6">
        <v>550</v>
      </c>
      <c r="F6">
        <v>465</v>
      </c>
      <c r="G6">
        <v>396</v>
      </c>
      <c r="H6">
        <v>340</v>
      </c>
      <c r="I6">
        <v>294</v>
      </c>
      <c r="J6">
        <v>257</v>
      </c>
      <c r="K6">
        <v>226</v>
      </c>
      <c r="L6">
        <v>200</v>
      </c>
      <c r="M6">
        <v>178</v>
      </c>
      <c r="N6">
        <v>159</v>
      </c>
      <c r="O6">
        <v>141</v>
      </c>
      <c r="P6">
        <v>124</v>
      </c>
      <c r="Q6">
        <v>107</v>
      </c>
      <c r="R6">
        <v>90</v>
      </c>
      <c r="S6">
        <v>74</v>
      </c>
      <c r="T6">
        <v>58</v>
      </c>
      <c r="U6">
        <v>43</v>
      </c>
      <c r="V6">
        <v>29</v>
      </c>
      <c r="W6">
        <v>18</v>
      </c>
      <c r="X6">
        <v>2</v>
      </c>
      <c r="Y6">
        <v>1.5</v>
      </c>
      <c r="Z6" t="s">
        <v>135</v>
      </c>
      <c r="AB6" t="s">
        <v>154</v>
      </c>
      <c r="AC6">
        <v>0.95</v>
      </c>
      <c r="AD6">
        <f>60.03/1000</f>
        <v>6.003E-2</v>
      </c>
      <c r="AE6" t="s">
        <v>171</v>
      </c>
      <c r="AF6">
        <v>8.8999999999999999E-3</v>
      </c>
    </row>
    <row r="7" spans="2:32" x14ac:dyDescent="0.2">
      <c r="B7" s="30">
        <v>4</v>
      </c>
      <c r="C7" t="s">
        <v>26</v>
      </c>
      <c r="D7">
        <v>209</v>
      </c>
      <c r="E7">
        <v>181</v>
      </c>
      <c r="F7">
        <v>157</v>
      </c>
      <c r="G7">
        <v>137</v>
      </c>
      <c r="H7">
        <v>120</v>
      </c>
      <c r="I7">
        <v>105</v>
      </c>
      <c r="J7">
        <v>93</v>
      </c>
      <c r="K7">
        <v>82</v>
      </c>
      <c r="L7">
        <v>73</v>
      </c>
      <c r="M7">
        <v>66</v>
      </c>
      <c r="N7">
        <v>59</v>
      </c>
      <c r="O7">
        <v>53</v>
      </c>
      <c r="P7">
        <v>47</v>
      </c>
      <c r="Q7">
        <v>41</v>
      </c>
      <c r="R7">
        <v>36</v>
      </c>
      <c r="S7">
        <v>31</v>
      </c>
      <c r="T7">
        <v>27</v>
      </c>
      <c r="U7">
        <v>22</v>
      </c>
      <c r="V7">
        <v>18</v>
      </c>
      <c r="W7">
        <v>14</v>
      </c>
      <c r="X7" s="2">
        <v>2.5</v>
      </c>
      <c r="Y7">
        <v>2</v>
      </c>
      <c r="Z7" t="s">
        <v>136</v>
      </c>
      <c r="AB7" t="s">
        <v>152</v>
      </c>
      <c r="AC7">
        <v>0.73</v>
      </c>
      <c r="AD7">
        <f>61.73/1000</f>
        <v>6.173E-2</v>
      </c>
    </row>
    <row r="8" spans="2:32" x14ac:dyDescent="0.2">
      <c r="B8" s="30">
        <v>5</v>
      </c>
      <c r="C8" t="s">
        <v>27</v>
      </c>
      <c r="D8">
        <v>337</v>
      </c>
      <c r="E8">
        <v>309</v>
      </c>
      <c r="F8">
        <v>283</v>
      </c>
      <c r="G8">
        <v>259</v>
      </c>
      <c r="H8">
        <v>238</v>
      </c>
      <c r="I8">
        <v>218</v>
      </c>
      <c r="J8">
        <v>200</v>
      </c>
      <c r="K8">
        <v>183</v>
      </c>
      <c r="L8">
        <v>168</v>
      </c>
      <c r="M8">
        <v>153</v>
      </c>
      <c r="N8">
        <v>140</v>
      </c>
      <c r="O8">
        <v>127</v>
      </c>
      <c r="P8">
        <v>114</v>
      </c>
      <c r="Q8">
        <v>103</v>
      </c>
      <c r="R8">
        <v>92</v>
      </c>
      <c r="S8">
        <v>81</v>
      </c>
      <c r="T8">
        <v>71</v>
      </c>
      <c r="U8">
        <v>61</v>
      </c>
      <c r="V8">
        <v>52</v>
      </c>
      <c r="W8">
        <v>44</v>
      </c>
      <c r="X8">
        <v>3</v>
      </c>
      <c r="Y8">
        <v>2.5</v>
      </c>
      <c r="Z8" t="s">
        <v>138</v>
      </c>
      <c r="AB8" t="s">
        <v>153</v>
      </c>
      <c r="AC8">
        <v>0.22</v>
      </c>
      <c r="AD8">
        <f>51.33/1000</f>
        <v>5.1330000000000001E-2</v>
      </c>
    </row>
    <row r="9" spans="2:32" x14ac:dyDescent="0.2">
      <c r="B9" s="30">
        <v>6</v>
      </c>
      <c r="C9" t="s">
        <v>28</v>
      </c>
      <c r="D9">
        <v>681</v>
      </c>
      <c r="E9">
        <v>562</v>
      </c>
      <c r="F9">
        <v>464</v>
      </c>
      <c r="G9">
        <v>385</v>
      </c>
      <c r="H9">
        <v>321</v>
      </c>
      <c r="I9">
        <v>269</v>
      </c>
      <c r="J9">
        <v>228</v>
      </c>
      <c r="K9">
        <v>196</v>
      </c>
      <c r="L9">
        <v>170</v>
      </c>
      <c r="M9">
        <v>148</v>
      </c>
      <c r="N9">
        <v>130</v>
      </c>
      <c r="O9">
        <v>113</v>
      </c>
      <c r="P9">
        <v>99</v>
      </c>
      <c r="Q9">
        <v>84</v>
      </c>
      <c r="R9">
        <v>70</v>
      </c>
      <c r="S9">
        <v>56</v>
      </c>
      <c r="T9">
        <v>43</v>
      </c>
      <c r="U9">
        <v>29</v>
      </c>
      <c r="V9">
        <v>17</v>
      </c>
      <c r="W9">
        <v>7</v>
      </c>
      <c r="X9" s="2">
        <v>3.5</v>
      </c>
      <c r="Y9">
        <v>3</v>
      </c>
      <c r="AB9" t="s">
        <v>151</v>
      </c>
      <c r="AC9">
        <v>1.32</v>
      </c>
      <c r="AD9">
        <f>55.23/1000</f>
        <v>5.5229999999999994E-2</v>
      </c>
    </row>
    <row r="10" spans="2:32" x14ac:dyDescent="0.2">
      <c r="B10" s="30">
        <v>7</v>
      </c>
      <c r="C10" t="s">
        <v>29</v>
      </c>
      <c r="D10">
        <v>344</v>
      </c>
      <c r="E10">
        <v>295</v>
      </c>
      <c r="F10">
        <v>255</v>
      </c>
      <c r="G10">
        <v>222</v>
      </c>
      <c r="H10">
        <v>194</v>
      </c>
      <c r="I10">
        <v>171</v>
      </c>
      <c r="J10">
        <v>152</v>
      </c>
      <c r="K10">
        <v>136</v>
      </c>
      <c r="L10">
        <v>122</v>
      </c>
      <c r="M10">
        <v>110</v>
      </c>
      <c r="N10">
        <v>99</v>
      </c>
      <c r="O10">
        <v>90</v>
      </c>
      <c r="P10">
        <v>80</v>
      </c>
      <c r="Q10">
        <v>71</v>
      </c>
      <c r="R10">
        <v>63</v>
      </c>
      <c r="S10">
        <v>54</v>
      </c>
      <c r="T10">
        <v>46</v>
      </c>
      <c r="U10">
        <v>38</v>
      </c>
      <c r="V10">
        <v>31</v>
      </c>
      <c r="W10">
        <v>24</v>
      </c>
      <c r="X10">
        <v>4</v>
      </c>
      <c r="Y10">
        <v>3.5</v>
      </c>
      <c r="AB10" t="s">
        <v>150</v>
      </c>
      <c r="AC10">
        <v>0.84</v>
      </c>
      <c r="AD10">
        <f>55.33/1000</f>
        <v>5.5329999999999997E-2</v>
      </c>
    </row>
    <row r="11" spans="2:32" x14ac:dyDescent="0.2">
      <c r="B11" s="30">
        <v>8</v>
      </c>
      <c r="C11" t="s">
        <v>30</v>
      </c>
      <c r="D11">
        <v>597</v>
      </c>
      <c r="E11">
        <v>481</v>
      </c>
      <c r="F11">
        <v>388</v>
      </c>
      <c r="G11">
        <v>315</v>
      </c>
      <c r="H11">
        <v>258</v>
      </c>
      <c r="I11">
        <v>214</v>
      </c>
      <c r="J11">
        <v>180</v>
      </c>
      <c r="K11">
        <v>155</v>
      </c>
      <c r="L11">
        <v>135</v>
      </c>
      <c r="M11">
        <v>119</v>
      </c>
      <c r="N11">
        <v>106</v>
      </c>
      <c r="O11">
        <v>94</v>
      </c>
      <c r="P11">
        <v>83</v>
      </c>
      <c r="Q11">
        <v>71</v>
      </c>
      <c r="R11">
        <v>60</v>
      </c>
      <c r="S11">
        <v>47</v>
      </c>
      <c r="T11">
        <v>35</v>
      </c>
      <c r="U11">
        <v>24</v>
      </c>
      <c r="V11">
        <v>14</v>
      </c>
      <c r="W11">
        <v>7</v>
      </c>
      <c r="X11" s="2">
        <v>4.5</v>
      </c>
      <c r="Y11">
        <v>4</v>
      </c>
    </row>
    <row r="12" spans="2:32" x14ac:dyDescent="0.2">
      <c r="B12" s="30">
        <v>9</v>
      </c>
      <c r="C12" t="s">
        <v>31</v>
      </c>
      <c r="D12">
        <v>407</v>
      </c>
      <c r="E12">
        <v>334</v>
      </c>
      <c r="F12">
        <v>275</v>
      </c>
      <c r="G12">
        <v>226</v>
      </c>
      <c r="H12">
        <v>187</v>
      </c>
      <c r="I12">
        <v>157</v>
      </c>
      <c r="J12">
        <v>132</v>
      </c>
      <c r="K12">
        <v>113</v>
      </c>
      <c r="L12">
        <v>97</v>
      </c>
      <c r="M12">
        <v>85</v>
      </c>
      <c r="N12">
        <v>75</v>
      </c>
      <c r="O12">
        <v>67</v>
      </c>
      <c r="P12">
        <v>59</v>
      </c>
      <c r="Q12">
        <v>52</v>
      </c>
      <c r="R12">
        <v>45</v>
      </c>
      <c r="S12">
        <v>38</v>
      </c>
      <c r="T12">
        <v>31</v>
      </c>
      <c r="U12">
        <v>24</v>
      </c>
      <c r="V12">
        <v>18</v>
      </c>
      <c r="W12">
        <v>12</v>
      </c>
      <c r="X12">
        <v>5</v>
      </c>
      <c r="Y12">
        <v>4.5</v>
      </c>
    </row>
    <row r="13" spans="2:32" x14ac:dyDescent="0.2">
      <c r="B13" s="30">
        <v>10</v>
      </c>
      <c r="C13" t="s">
        <v>32</v>
      </c>
      <c r="D13">
        <v>245</v>
      </c>
      <c r="E13">
        <v>203</v>
      </c>
      <c r="F13">
        <v>167</v>
      </c>
      <c r="G13">
        <v>139</v>
      </c>
      <c r="H13">
        <v>116</v>
      </c>
      <c r="I13">
        <v>97</v>
      </c>
      <c r="J13">
        <v>83</v>
      </c>
      <c r="K13">
        <v>71</v>
      </c>
      <c r="L13">
        <v>62</v>
      </c>
      <c r="M13">
        <v>55</v>
      </c>
      <c r="N13">
        <v>48</v>
      </c>
      <c r="O13">
        <v>43</v>
      </c>
      <c r="P13">
        <v>38</v>
      </c>
      <c r="Q13">
        <v>34</v>
      </c>
      <c r="R13">
        <v>30</v>
      </c>
      <c r="S13">
        <v>25</v>
      </c>
      <c r="T13">
        <v>21</v>
      </c>
      <c r="U13">
        <v>17</v>
      </c>
      <c r="V13">
        <v>13</v>
      </c>
      <c r="W13">
        <v>10</v>
      </c>
      <c r="X13" s="2">
        <v>5.5</v>
      </c>
      <c r="Y13">
        <v>5</v>
      </c>
    </row>
    <row r="14" spans="2:32" x14ac:dyDescent="0.2">
      <c r="B14" s="30">
        <v>11</v>
      </c>
      <c r="C14" t="s">
        <v>33</v>
      </c>
      <c r="D14">
        <v>286</v>
      </c>
      <c r="E14">
        <v>232</v>
      </c>
      <c r="F14">
        <v>188</v>
      </c>
      <c r="G14">
        <v>153</v>
      </c>
      <c r="H14">
        <v>125</v>
      </c>
      <c r="I14">
        <v>103</v>
      </c>
      <c r="J14">
        <v>86</v>
      </c>
      <c r="K14">
        <v>73</v>
      </c>
      <c r="L14">
        <v>63</v>
      </c>
      <c r="M14">
        <v>55</v>
      </c>
      <c r="N14">
        <v>49</v>
      </c>
      <c r="O14">
        <v>44</v>
      </c>
      <c r="P14">
        <v>39</v>
      </c>
      <c r="Q14">
        <v>34</v>
      </c>
      <c r="R14">
        <v>29</v>
      </c>
      <c r="S14">
        <v>24</v>
      </c>
      <c r="T14">
        <v>19</v>
      </c>
      <c r="U14">
        <v>15</v>
      </c>
      <c r="V14">
        <v>11</v>
      </c>
      <c r="W14">
        <v>7</v>
      </c>
      <c r="X14">
        <v>6</v>
      </c>
      <c r="Y14">
        <v>5.5</v>
      </c>
    </row>
    <row r="15" spans="2:32" x14ac:dyDescent="0.2">
      <c r="B15" s="30">
        <v>12</v>
      </c>
      <c r="C15" t="s">
        <v>34</v>
      </c>
      <c r="D15">
        <v>349</v>
      </c>
      <c r="E15">
        <v>285</v>
      </c>
      <c r="F15">
        <v>233</v>
      </c>
      <c r="G15">
        <v>191</v>
      </c>
      <c r="H15">
        <v>158</v>
      </c>
      <c r="I15">
        <v>132</v>
      </c>
      <c r="J15">
        <v>112</v>
      </c>
      <c r="K15">
        <v>96</v>
      </c>
      <c r="L15">
        <v>83</v>
      </c>
      <c r="M15">
        <v>73</v>
      </c>
      <c r="N15">
        <v>64</v>
      </c>
      <c r="O15">
        <v>57</v>
      </c>
      <c r="P15">
        <v>50</v>
      </c>
      <c r="Q15">
        <v>43</v>
      </c>
      <c r="R15">
        <v>36</v>
      </c>
      <c r="S15">
        <v>29</v>
      </c>
      <c r="T15">
        <v>22</v>
      </c>
      <c r="U15">
        <v>16</v>
      </c>
      <c r="V15">
        <v>10</v>
      </c>
      <c r="W15">
        <v>5</v>
      </c>
      <c r="X15" s="2">
        <v>6.5</v>
      </c>
      <c r="Y15">
        <v>6</v>
      </c>
    </row>
    <row r="16" spans="2:32" x14ac:dyDescent="0.2">
      <c r="B16" s="30">
        <v>13</v>
      </c>
      <c r="C16" t="s">
        <v>35</v>
      </c>
      <c r="D16">
        <v>483</v>
      </c>
      <c r="E16">
        <v>387</v>
      </c>
      <c r="F16">
        <v>311</v>
      </c>
      <c r="G16">
        <v>251</v>
      </c>
      <c r="H16">
        <v>204</v>
      </c>
      <c r="I16">
        <v>167</v>
      </c>
      <c r="J16">
        <v>139</v>
      </c>
      <c r="K16">
        <v>118</v>
      </c>
      <c r="L16">
        <v>102</v>
      </c>
      <c r="M16">
        <v>89</v>
      </c>
      <c r="N16">
        <v>79</v>
      </c>
      <c r="O16">
        <v>70</v>
      </c>
      <c r="P16">
        <v>61</v>
      </c>
      <c r="Q16">
        <v>52</v>
      </c>
      <c r="R16">
        <v>44</v>
      </c>
      <c r="S16">
        <v>34</v>
      </c>
      <c r="T16">
        <v>25</v>
      </c>
      <c r="U16">
        <v>17</v>
      </c>
      <c r="V16">
        <v>9</v>
      </c>
      <c r="W16">
        <v>4</v>
      </c>
      <c r="X16">
        <v>7</v>
      </c>
      <c r="Y16">
        <v>7</v>
      </c>
    </row>
    <row r="17" spans="2:25" x14ac:dyDescent="0.2">
      <c r="B17" s="30">
        <v>14</v>
      </c>
      <c r="C17" t="s">
        <v>36</v>
      </c>
      <c r="D17">
        <v>801</v>
      </c>
      <c r="E17">
        <v>661</v>
      </c>
      <c r="F17">
        <v>545</v>
      </c>
      <c r="G17">
        <v>451</v>
      </c>
      <c r="H17">
        <v>375</v>
      </c>
      <c r="I17">
        <v>314</v>
      </c>
      <c r="J17">
        <v>266</v>
      </c>
      <c r="K17">
        <v>227</v>
      </c>
      <c r="L17">
        <v>195</v>
      </c>
      <c r="M17">
        <v>169</v>
      </c>
      <c r="N17">
        <v>147</v>
      </c>
      <c r="O17">
        <v>128</v>
      </c>
      <c r="P17">
        <v>110</v>
      </c>
      <c r="Q17">
        <v>93</v>
      </c>
      <c r="R17">
        <v>76</v>
      </c>
      <c r="S17">
        <v>60</v>
      </c>
      <c r="T17">
        <v>43</v>
      </c>
      <c r="U17">
        <v>27</v>
      </c>
      <c r="V17">
        <v>13</v>
      </c>
      <c r="W17">
        <v>1</v>
      </c>
      <c r="X17" s="2">
        <v>7.5</v>
      </c>
      <c r="Y17">
        <v>8</v>
      </c>
    </row>
    <row r="18" spans="2:25" x14ac:dyDescent="0.2">
      <c r="B18" s="30">
        <v>15</v>
      </c>
      <c r="C18" t="s">
        <v>37</v>
      </c>
      <c r="D18">
        <v>429</v>
      </c>
      <c r="E18">
        <v>349</v>
      </c>
      <c r="F18">
        <v>284</v>
      </c>
      <c r="G18">
        <v>232</v>
      </c>
      <c r="H18">
        <v>191</v>
      </c>
      <c r="I18">
        <v>159</v>
      </c>
      <c r="J18">
        <v>133</v>
      </c>
      <c r="K18">
        <v>114</v>
      </c>
      <c r="L18">
        <v>98</v>
      </c>
      <c r="M18">
        <v>86</v>
      </c>
      <c r="N18">
        <v>76</v>
      </c>
      <c r="O18">
        <v>67</v>
      </c>
      <c r="P18">
        <v>58</v>
      </c>
      <c r="Q18">
        <v>50</v>
      </c>
      <c r="R18">
        <v>42</v>
      </c>
      <c r="S18">
        <v>34</v>
      </c>
      <c r="T18">
        <v>26</v>
      </c>
      <c r="U18">
        <v>19</v>
      </c>
      <c r="V18">
        <v>12</v>
      </c>
      <c r="W18">
        <v>6</v>
      </c>
      <c r="X18">
        <v>8</v>
      </c>
      <c r="Y18">
        <v>9</v>
      </c>
    </row>
    <row r="19" spans="2:25" x14ac:dyDescent="0.2">
      <c r="B19" s="30">
        <v>16</v>
      </c>
      <c r="C19" t="s">
        <v>38</v>
      </c>
      <c r="D19">
        <v>584</v>
      </c>
      <c r="E19">
        <v>480</v>
      </c>
      <c r="F19">
        <v>394</v>
      </c>
      <c r="G19">
        <v>325</v>
      </c>
      <c r="H19">
        <v>270</v>
      </c>
      <c r="I19">
        <v>227</v>
      </c>
      <c r="J19">
        <v>192</v>
      </c>
      <c r="K19">
        <v>165</v>
      </c>
      <c r="L19">
        <v>143</v>
      </c>
      <c r="M19">
        <v>125</v>
      </c>
      <c r="N19">
        <v>109</v>
      </c>
      <c r="O19">
        <v>96</v>
      </c>
      <c r="P19">
        <v>83</v>
      </c>
      <c r="Q19">
        <v>70</v>
      </c>
      <c r="R19">
        <v>58</v>
      </c>
      <c r="S19">
        <v>46</v>
      </c>
      <c r="T19">
        <v>33</v>
      </c>
      <c r="U19">
        <v>22</v>
      </c>
      <c r="V19">
        <v>11</v>
      </c>
      <c r="W19">
        <v>3</v>
      </c>
      <c r="X19" s="2">
        <v>8.5</v>
      </c>
      <c r="Y19">
        <v>10</v>
      </c>
    </row>
    <row r="20" spans="2:25" x14ac:dyDescent="0.2">
      <c r="B20" s="30">
        <v>17</v>
      </c>
      <c r="C20" t="s">
        <v>39</v>
      </c>
      <c r="D20">
        <v>286</v>
      </c>
      <c r="E20">
        <v>230</v>
      </c>
      <c r="F20">
        <v>184</v>
      </c>
      <c r="G20">
        <v>148</v>
      </c>
      <c r="H20">
        <v>120</v>
      </c>
      <c r="I20">
        <v>98</v>
      </c>
      <c r="J20">
        <v>81</v>
      </c>
      <c r="K20">
        <v>68</v>
      </c>
      <c r="L20">
        <v>58</v>
      </c>
      <c r="M20">
        <v>50</v>
      </c>
      <c r="N20">
        <v>44</v>
      </c>
      <c r="O20">
        <v>39</v>
      </c>
      <c r="P20">
        <v>35</v>
      </c>
      <c r="Q20">
        <v>30</v>
      </c>
      <c r="R20">
        <v>26</v>
      </c>
      <c r="S20">
        <v>22</v>
      </c>
      <c r="T20">
        <v>17</v>
      </c>
      <c r="U20">
        <v>13</v>
      </c>
      <c r="V20">
        <v>9</v>
      </c>
      <c r="W20">
        <v>6</v>
      </c>
      <c r="X20">
        <v>9</v>
      </c>
    </row>
    <row r="21" spans="2:25" x14ac:dyDescent="0.2">
      <c r="B21" s="30">
        <v>18</v>
      </c>
      <c r="C21" t="s">
        <v>40</v>
      </c>
      <c r="D21">
        <v>517</v>
      </c>
      <c r="E21">
        <v>423</v>
      </c>
      <c r="F21">
        <v>346</v>
      </c>
      <c r="G21">
        <v>284</v>
      </c>
      <c r="H21">
        <v>235</v>
      </c>
      <c r="I21">
        <v>195</v>
      </c>
      <c r="J21">
        <v>164</v>
      </c>
      <c r="K21">
        <v>140</v>
      </c>
      <c r="L21">
        <v>121</v>
      </c>
      <c r="M21">
        <v>105</v>
      </c>
      <c r="N21">
        <v>92</v>
      </c>
      <c r="O21">
        <v>81</v>
      </c>
      <c r="P21">
        <v>70</v>
      </c>
      <c r="Q21">
        <v>60</v>
      </c>
      <c r="R21">
        <v>50</v>
      </c>
      <c r="S21">
        <v>40</v>
      </c>
      <c r="T21">
        <v>30</v>
      </c>
      <c r="U21">
        <v>20</v>
      </c>
      <c r="V21">
        <v>12</v>
      </c>
      <c r="W21">
        <v>5</v>
      </c>
      <c r="X21" s="2">
        <v>9.5</v>
      </c>
    </row>
    <row r="22" spans="2:25" x14ac:dyDescent="0.2">
      <c r="B22" s="30">
        <v>19</v>
      </c>
      <c r="C22" t="s">
        <v>41</v>
      </c>
      <c r="D22">
        <v>525</v>
      </c>
      <c r="E22">
        <v>434</v>
      </c>
      <c r="F22">
        <v>359</v>
      </c>
      <c r="G22">
        <v>298</v>
      </c>
      <c r="H22">
        <v>249</v>
      </c>
      <c r="I22">
        <v>209</v>
      </c>
      <c r="J22">
        <v>177</v>
      </c>
      <c r="K22">
        <v>151</v>
      </c>
      <c r="L22">
        <v>131</v>
      </c>
      <c r="M22">
        <v>114</v>
      </c>
      <c r="N22">
        <v>100</v>
      </c>
      <c r="O22">
        <v>87</v>
      </c>
      <c r="P22">
        <v>76</v>
      </c>
      <c r="Q22">
        <v>66</v>
      </c>
      <c r="R22">
        <v>56</v>
      </c>
      <c r="S22">
        <v>45</v>
      </c>
      <c r="T22">
        <v>35</v>
      </c>
      <c r="U22">
        <v>26</v>
      </c>
      <c r="V22">
        <v>17</v>
      </c>
      <c r="W22">
        <v>9</v>
      </c>
      <c r="X22">
        <v>10</v>
      </c>
    </row>
    <row r="23" spans="2:25" x14ac:dyDescent="0.2">
      <c r="B23" s="30">
        <v>20</v>
      </c>
      <c r="C23" t="s">
        <v>42</v>
      </c>
      <c r="D23">
        <v>804</v>
      </c>
      <c r="E23">
        <v>663</v>
      </c>
      <c r="F23">
        <v>548</v>
      </c>
      <c r="G23">
        <v>455</v>
      </c>
      <c r="H23">
        <v>380</v>
      </c>
      <c r="I23">
        <v>321</v>
      </c>
      <c r="J23">
        <v>273</v>
      </c>
      <c r="K23">
        <v>235</v>
      </c>
      <c r="L23">
        <v>204</v>
      </c>
      <c r="M23">
        <v>178</v>
      </c>
      <c r="N23">
        <v>156</v>
      </c>
      <c r="O23">
        <v>137</v>
      </c>
      <c r="P23">
        <v>118</v>
      </c>
      <c r="Q23">
        <v>100</v>
      </c>
      <c r="R23">
        <v>82</v>
      </c>
      <c r="S23">
        <v>64</v>
      </c>
      <c r="T23">
        <v>47</v>
      </c>
      <c r="U23">
        <v>30</v>
      </c>
      <c r="V23">
        <v>15</v>
      </c>
      <c r="W23">
        <v>3</v>
      </c>
    </row>
    <row r="24" spans="2:25" x14ac:dyDescent="0.2">
      <c r="B24" s="30">
        <v>21</v>
      </c>
      <c r="C24" t="s">
        <v>43</v>
      </c>
      <c r="D24">
        <v>676</v>
      </c>
      <c r="E24">
        <v>559</v>
      </c>
      <c r="F24">
        <v>462</v>
      </c>
      <c r="G24">
        <v>384</v>
      </c>
      <c r="H24">
        <v>321</v>
      </c>
      <c r="I24">
        <v>271</v>
      </c>
      <c r="J24">
        <v>230</v>
      </c>
      <c r="K24">
        <v>198</v>
      </c>
      <c r="L24">
        <v>171</v>
      </c>
      <c r="M24">
        <v>149</v>
      </c>
      <c r="N24">
        <v>131</v>
      </c>
      <c r="O24">
        <v>114</v>
      </c>
      <c r="P24">
        <v>98</v>
      </c>
      <c r="Q24">
        <v>83</v>
      </c>
      <c r="R24">
        <v>68</v>
      </c>
      <c r="S24">
        <v>54</v>
      </c>
      <c r="T24">
        <v>39</v>
      </c>
      <c r="U24">
        <v>25</v>
      </c>
      <c r="V24">
        <v>13</v>
      </c>
      <c r="W24">
        <v>2</v>
      </c>
    </row>
    <row r="25" spans="2:25" x14ac:dyDescent="0.2">
      <c r="B25" s="30">
        <v>22</v>
      </c>
      <c r="C25" t="s">
        <v>44</v>
      </c>
      <c r="D25">
        <v>791</v>
      </c>
      <c r="E25">
        <v>653</v>
      </c>
      <c r="F25">
        <v>541</v>
      </c>
      <c r="G25">
        <v>449</v>
      </c>
      <c r="H25">
        <v>376</v>
      </c>
      <c r="I25">
        <v>317</v>
      </c>
      <c r="J25">
        <v>269</v>
      </c>
      <c r="K25">
        <v>231</v>
      </c>
      <c r="L25">
        <v>201</v>
      </c>
      <c r="M25">
        <v>175</v>
      </c>
      <c r="N25">
        <v>153</v>
      </c>
      <c r="O25">
        <v>133</v>
      </c>
      <c r="P25">
        <v>115</v>
      </c>
      <c r="Q25">
        <v>98</v>
      </c>
      <c r="R25">
        <v>80</v>
      </c>
      <c r="S25">
        <v>63</v>
      </c>
      <c r="T25">
        <v>46</v>
      </c>
      <c r="U25">
        <v>30</v>
      </c>
      <c r="V25">
        <v>15</v>
      </c>
      <c r="W25">
        <v>2</v>
      </c>
    </row>
    <row r="26" spans="2:25" x14ac:dyDescent="0.2">
      <c r="B26" s="30">
        <v>23</v>
      </c>
      <c r="C26" t="s">
        <v>45</v>
      </c>
      <c r="D26">
        <v>895</v>
      </c>
      <c r="E26">
        <v>740</v>
      </c>
      <c r="F26">
        <v>615</v>
      </c>
      <c r="G26">
        <v>513</v>
      </c>
      <c r="H26">
        <v>431</v>
      </c>
      <c r="I26">
        <v>366</v>
      </c>
      <c r="J26">
        <v>314</v>
      </c>
      <c r="K26">
        <v>272</v>
      </c>
      <c r="L26">
        <v>237</v>
      </c>
      <c r="M26">
        <v>208</v>
      </c>
      <c r="N26">
        <v>183</v>
      </c>
      <c r="O26">
        <v>160</v>
      </c>
      <c r="P26">
        <v>138</v>
      </c>
      <c r="Q26">
        <v>117</v>
      </c>
      <c r="R26">
        <v>95</v>
      </c>
      <c r="S26">
        <v>74</v>
      </c>
      <c r="T26">
        <v>53</v>
      </c>
      <c r="U26">
        <v>33</v>
      </c>
      <c r="V26">
        <v>15</v>
      </c>
      <c r="W26">
        <v>1</v>
      </c>
    </row>
    <row r="27" spans="2:25" x14ac:dyDescent="0.2">
      <c r="B27" s="30">
        <v>24</v>
      </c>
      <c r="C27" s="79" t="s">
        <v>204</v>
      </c>
      <c r="D27" s="79">
        <v>957</v>
      </c>
      <c r="E27" s="79">
        <v>792</v>
      </c>
      <c r="F27" s="79">
        <v>657</v>
      </c>
      <c r="G27" s="79">
        <v>547</v>
      </c>
      <c r="H27" s="79">
        <v>458</v>
      </c>
      <c r="I27" s="79">
        <v>387</v>
      </c>
      <c r="J27" s="79">
        <v>330</v>
      </c>
      <c r="K27" s="79">
        <v>284</v>
      </c>
      <c r="L27" s="79">
        <v>247</v>
      </c>
      <c r="M27" s="79">
        <v>216</v>
      </c>
      <c r="N27" s="79">
        <v>189</v>
      </c>
      <c r="O27" s="79">
        <v>165</v>
      </c>
      <c r="P27" s="79">
        <v>142</v>
      </c>
      <c r="Q27" s="79">
        <v>120</v>
      </c>
      <c r="R27" s="79">
        <v>99</v>
      </c>
      <c r="S27" s="79">
        <v>77</v>
      </c>
      <c r="T27" s="79">
        <v>56</v>
      </c>
      <c r="U27" s="79">
        <v>35</v>
      </c>
      <c r="V27" s="79">
        <v>17</v>
      </c>
      <c r="W27" s="79">
        <v>2</v>
      </c>
    </row>
    <row r="28" spans="2:25" x14ac:dyDescent="0.2">
      <c r="B28" s="30">
        <v>25</v>
      </c>
      <c r="C28" s="79" t="s">
        <v>205</v>
      </c>
      <c r="D28" s="79">
        <v>1666</v>
      </c>
      <c r="E28" s="79">
        <v>1404</v>
      </c>
      <c r="F28" s="79">
        <v>1188</v>
      </c>
      <c r="G28" s="79">
        <v>1012</v>
      </c>
      <c r="H28" s="79">
        <v>870</v>
      </c>
      <c r="I28" s="79">
        <v>753</v>
      </c>
      <c r="J28" s="79">
        <v>658</v>
      </c>
      <c r="K28" s="79">
        <v>580</v>
      </c>
      <c r="L28" s="79">
        <v>513</v>
      </c>
      <c r="M28" s="79">
        <v>454</v>
      </c>
      <c r="N28" s="79">
        <v>401</v>
      </c>
      <c r="O28" s="79">
        <v>352</v>
      </c>
      <c r="P28" s="79">
        <v>303</v>
      </c>
      <c r="Q28" s="79">
        <v>255</v>
      </c>
      <c r="R28" s="79">
        <v>208</v>
      </c>
      <c r="S28" s="79">
        <v>160</v>
      </c>
      <c r="T28" s="79">
        <v>114</v>
      </c>
      <c r="U28" s="79">
        <v>71</v>
      </c>
      <c r="V28" s="79">
        <v>33</v>
      </c>
      <c r="W28" s="79">
        <v>1</v>
      </c>
    </row>
    <row r="29" spans="2:25" x14ac:dyDescent="0.2">
      <c r="B29" s="30">
        <v>26</v>
      </c>
      <c r="C29" s="79" t="s">
        <v>206</v>
      </c>
      <c r="D29" s="79">
        <v>876</v>
      </c>
      <c r="E29" s="79">
        <v>723</v>
      </c>
      <c r="F29" s="79">
        <v>598</v>
      </c>
      <c r="G29" s="79">
        <v>498</v>
      </c>
      <c r="H29" s="79">
        <v>417</v>
      </c>
      <c r="I29" s="79">
        <v>354</v>
      </c>
      <c r="J29" s="79">
        <v>303</v>
      </c>
      <c r="K29" s="79">
        <v>262</v>
      </c>
      <c r="L29" s="79">
        <v>229</v>
      </c>
      <c r="M29" s="79">
        <v>202</v>
      </c>
      <c r="N29" s="79">
        <v>177</v>
      </c>
      <c r="O29" s="79">
        <v>155</v>
      </c>
      <c r="P29" s="79">
        <v>134</v>
      </c>
      <c r="Q29" s="79">
        <v>113</v>
      </c>
      <c r="R29" s="79">
        <v>92</v>
      </c>
      <c r="S29" s="79">
        <v>71</v>
      </c>
      <c r="T29" s="79">
        <v>51</v>
      </c>
      <c r="U29" s="79">
        <v>31</v>
      </c>
      <c r="V29" s="79">
        <v>14</v>
      </c>
      <c r="W29" s="79">
        <v>0</v>
      </c>
    </row>
    <row r="30" spans="2:25" x14ac:dyDescent="0.2">
      <c r="B30" s="30">
        <v>27</v>
      </c>
      <c r="C30" s="79" t="s">
        <v>207</v>
      </c>
      <c r="D30" s="79">
        <v>660</v>
      </c>
      <c r="E30" s="79">
        <v>541</v>
      </c>
      <c r="F30" s="79">
        <v>444</v>
      </c>
      <c r="G30" s="79">
        <v>367</v>
      </c>
      <c r="H30" s="79">
        <v>305</v>
      </c>
      <c r="I30" s="79">
        <v>256</v>
      </c>
      <c r="J30" s="79">
        <v>218</v>
      </c>
      <c r="K30" s="79">
        <v>187</v>
      </c>
      <c r="L30" s="79">
        <v>163</v>
      </c>
      <c r="M30" s="79">
        <v>143</v>
      </c>
      <c r="N30" s="79">
        <v>126</v>
      </c>
      <c r="O30" s="79">
        <v>110</v>
      </c>
      <c r="P30" s="79">
        <v>96</v>
      </c>
      <c r="Q30" s="79">
        <v>81</v>
      </c>
      <c r="R30" s="79">
        <v>67</v>
      </c>
      <c r="S30" s="79">
        <v>53</v>
      </c>
      <c r="T30" s="79">
        <v>38</v>
      </c>
      <c r="U30" s="79">
        <v>25</v>
      </c>
      <c r="V30" s="79">
        <v>13</v>
      </c>
      <c r="W30" s="79">
        <v>3</v>
      </c>
    </row>
    <row r="31" spans="2:25" x14ac:dyDescent="0.2">
      <c r="B31" s="30">
        <v>28</v>
      </c>
      <c r="C31" s="79" t="s">
        <v>208</v>
      </c>
      <c r="D31" s="79">
        <v>555</v>
      </c>
      <c r="E31" s="79">
        <v>450</v>
      </c>
      <c r="F31" s="79">
        <v>365</v>
      </c>
      <c r="G31" s="79">
        <v>298</v>
      </c>
      <c r="H31" s="79">
        <v>245</v>
      </c>
      <c r="I31" s="79">
        <v>203</v>
      </c>
      <c r="J31" s="79">
        <v>171</v>
      </c>
      <c r="K31" s="79">
        <v>146</v>
      </c>
      <c r="L31" s="79">
        <v>127</v>
      </c>
      <c r="M31" s="79">
        <v>112</v>
      </c>
      <c r="N31" s="79">
        <v>99</v>
      </c>
      <c r="O31" s="79">
        <v>87</v>
      </c>
      <c r="P31" s="79">
        <v>77</v>
      </c>
      <c r="Q31" s="79">
        <v>66</v>
      </c>
      <c r="R31" s="79">
        <v>55</v>
      </c>
      <c r="S31" s="79">
        <v>44</v>
      </c>
      <c r="T31" s="79">
        <v>34</v>
      </c>
      <c r="U31" s="79">
        <v>23</v>
      </c>
      <c r="V31" s="79">
        <v>14</v>
      </c>
      <c r="W31" s="79">
        <v>7</v>
      </c>
    </row>
    <row r="32" spans="2:25" x14ac:dyDescent="0.2">
      <c r="B32" s="30">
        <v>29</v>
      </c>
      <c r="C32" s="79" t="s">
        <v>209</v>
      </c>
      <c r="D32" s="79">
        <v>830</v>
      </c>
      <c r="E32" s="79">
        <v>743</v>
      </c>
      <c r="F32" s="79">
        <v>671</v>
      </c>
      <c r="G32" s="79">
        <v>611</v>
      </c>
      <c r="H32" s="79">
        <v>560</v>
      </c>
      <c r="I32" s="79">
        <v>517</v>
      </c>
      <c r="J32" s="79">
        <v>479</v>
      </c>
      <c r="K32" s="79">
        <v>445</v>
      </c>
      <c r="L32" s="79">
        <v>414</v>
      </c>
      <c r="M32" s="79">
        <v>384</v>
      </c>
      <c r="N32" s="79">
        <v>355</v>
      </c>
      <c r="O32" s="79">
        <v>326</v>
      </c>
      <c r="P32" s="79">
        <v>296</v>
      </c>
      <c r="Q32" s="79">
        <v>266</v>
      </c>
      <c r="R32" s="79">
        <v>237</v>
      </c>
      <c r="S32" s="79">
        <v>207</v>
      </c>
      <c r="T32" s="79">
        <v>179</v>
      </c>
      <c r="U32" s="79">
        <v>153</v>
      </c>
      <c r="V32" s="79">
        <v>130</v>
      </c>
      <c r="W32" s="79">
        <v>111</v>
      </c>
    </row>
    <row r="33" spans="2:23" x14ac:dyDescent="0.2">
      <c r="B33" s="30">
        <v>30</v>
      </c>
      <c r="C33" s="79" t="s">
        <v>210</v>
      </c>
      <c r="D33" s="79">
        <v>1229</v>
      </c>
      <c r="E33" s="79">
        <v>1071</v>
      </c>
      <c r="F33" s="79">
        <v>943</v>
      </c>
      <c r="G33" s="79">
        <v>839</v>
      </c>
      <c r="H33" s="79">
        <v>754</v>
      </c>
      <c r="I33" s="79">
        <v>685</v>
      </c>
      <c r="J33" s="79">
        <v>626</v>
      </c>
      <c r="K33" s="79">
        <v>576</v>
      </c>
      <c r="L33" s="79">
        <v>530</v>
      </c>
      <c r="M33" s="79">
        <v>488</v>
      </c>
      <c r="N33" s="79">
        <v>447</v>
      </c>
      <c r="O33" s="79">
        <v>406</v>
      </c>
      <c r="P33" s="79">
        <v>364</v>
      </c>
      <c r="Q33" s="79">
        <v>321</v>
      </c>
      <c r="R33" s="79">
        <v>278</v>
      </c>
      <c r="S33" s="79">
        <v>234</v>
      </c>
      <c r="T33" s="79">
        <v>192</v>
      </c>
      <c r="U33" s="79">
        <v>154</v>
      </c>
      <c r="V33" s="79">
        <v>121</v>
      </c>
      <c r="W33" s="79">
        <v>95</v>
      </c>
    </row>
    <row r="34" spans="2:23" x14ac:dyDescent="0.2">
      <c r="B34" s="30">
        <v>31</v>
      </c>
      <c r="C34" s="79" t="s">
        <v>211</v>
      </c>
      <c r="D34" s="79">
        <v>427</v>
      </c>
      <c r="E34" s="79">
        <v>391</v>
      </c>
      <c r="F34" s="79">
        <v>359</v>
      </c>
      <c r="G34" s="79">
        <v>330</v>
      </c>
      <c r="H34" s="79">
        <v>305</v>
      </c>
      <c r="I34" s="79">
        <v>282</v>
      </c>
      <c r="J34" s="79">
        <v>261</v>
      </c>
      <c r="K34" s="79">
        <v>242</v>
      </c>
      <c r="L34" s="79">
        <v>224</v>
      </c>
      <c r="M34" s="79">
        <v>207</v>
      </c>
      <c r="N34" s="79">
        <v>191</v>
      </c>
      <c r="O34" s="79">
        <v>176</v>
      </c>
      <c r="P34" s="79">
        <v>160</v>
      </c>
      <c r="Q34" s="79">
        <v>146</v>
      </c>
      <c r="R34" s="79">
        <v>132</v>
      </c>
      <c r="S34" s="79">
        <v>118</v>
      </c>
      <c r="T34" s="79">
        <v>105</v>
      </c>
      <c r="U34" s="79">
        <v>93</v>
      </c>
      <c r="V34" s="79">
        <v>81</v>
      </c>
      <c r="W34" s="79">
        <v>71</v>
      </c>
    </row>
    <row r="35" spans="2:23" x14ac:dyDescent="0.2">
      <c r="B35" s="30">
        <v>32</v>
      </c>
      <c r="C35" s="79" t="s">
        <v>212</v>
      </c>
      <c r="D35" s="79">
        <v>330</v>
      </c>
      <c r="E35" s="79">
        <v>302</v>
      </c>
      <c r="F35" s="79">
        <v>276</v>
      </c>
      <c r="G35" s="79">
        <v>253</v>
      </c>
      <c r="H35" s="79">
        <v>232</v>
      </c>
      <c r="I35" s="79">
        <v>214</v>
      </c>
      <c r="J35" s="79">
        <v>197</v>
      </c>
      <c r="K35" s="79">
        <v>181</v>
      </c>
      <c r="L35" s="79">
        <v>167</v>
      </c>
      <c r="M35" s="79">
        <v>153</v>
      </c>
      <c r="N35" s="79">
        <v>140</v>
      </c>
      <c r="O35" s="79">
        <v>128</v>
      </c>
      <c r="P35" s="79">
        <v>117</v>
      </c>
      <c r="Q35" s="79">
        <v>105</v>
      </c>
      <c r="R35" s="79">
        <v>94</v>
      </c>
      <c r="S35" s="79">
        <v>84</v>
      </c>
      <c r="T35" s="79">
        <v>74</v>
      </c>
      <c r="U35" s="79">
        <v>64</v>
      </c>
      <c r="V35" s="79">
        <v>56</v>
      </c>
      <c r="W35" s="79">
        <v>48</v>
      </c>
    </row>
    <row r="36" spans="2:23" x14ac:dyDescent="0.2">
      <c r="B36" s="30">
        <v>33</v>
      </c>
      <c r="C36" s="79" t="s">
        <v>213</v>
      </c>
      <c r="D36" s="79">
        <v>732</v>
      </c>
      <c r="E36" s="79">
        <v>652</v>
      </c>
      <c r="F36" s="79">
        <v>585</v>
      </c>
      <c r="G36" s="79">
        <v>531</v>
      </c>
      <c r="H36" s="79">
        <v>486</v>
      </c>
      <c r="I36" s="79">
        <v>448</v>
      </c>
      <c r="J36" s="79">
        <v>416</v>
      </c>
      <c r="K36" s="79">
        <v>387</v>
      </c>
      <c r="L36" s="79">
        <v>360</v>
      </c>
      <c r="M36" s="79">
        <v>335</v>
      </c>
      <c r="N36" s="79">
        <v>310</v>
      </c>
      <c r="O36" s="79">
        <v>285</v>
      </c>
      <c r="P36" s="79">
        <v>260</v>
      </c>
      <c r="Q36" s="79">
        <v>234</v>
      </c>
      <c r="R36" s="79">
        <v>208</v>
      </c>
      <c r="S36" s="79">
        <v>182</v>
      </c>
      <c r="T36" s="79">
        <v>157</v>
      </c>
      <c r="U36" s="79">
        <v>134</v>
      </c>
      <c r="V36" s="79">
        <v>115</v>
      </c>
      <c r="W36" s="79">
        <v>99</v>
      </c>
    </row>
    <row r="37" spans="2:23" x14ac:dyDescent="0.2">
      <c r="B37" s="30">
        <v>34</v>
      </c>
      <c r="C37" s="79" t="s">
        <v>214</v>
      </c>
      <c r="D37" s="79">
        <v>511</v>
      </c>
      <c r="E37" s="79">
        <v>439</v>
      </c>
      <c r="F37" s="79">
        <v>379</v>
      </c>
      <c r="G37" s="79">
        <v>330</v>
      </c>
      <c r="H37" s="79">
        <v>290</v>
      </c>
      <c r="I37" s="79">
        <v>256</v>
      </c>
      <c r="J37" s="79">
        <v>228</v>
      </c>
      <c r="K37" s="79">
        <v>204</v>
      </c>
      <c r="L37" s="79">
        <v>184</v>
      </c>
      <c r="M37" s="79">
        <v>166</v>
      </c>
      <c r="N37" s="79">
        <v>149</v>
      </c>
      <c r="O37" s="79">
        <v>134</v>
      </c>
      <c r="P37" s="79">
        <v>119</v>
      </c>
      <c r="Q37" s="79">
        <v>104</v>
      </c>
      <c r="R37" s="79">
        <v>89</v>
      </c>
      <c r="S37" s="79">
        <v>74</v>
      </c>
      <c r="T37" s="79">
        <v>60</v>
      </c>
      <c r="U37" s="79">
        <v>47</v>
      </c>
      <c r="V37" s="79">
        <v>35</v>
      </c>
      <c r="W37" s="79">
        <v>25</v>
      </c>
    </row>
    <row r="38" spans="2:23" x14ac:dyDescent="0.2">
      <c r="B38" s="30">
        <v>35</v>
      </c>
      <c r="C38" s="79" t="s">
        <v>215</v>
      </c>
      <c r="D38" s="79">
        <v>275</v>
      </c>
      <c r="E38" s="79">
        <v>248</v>
      </c>
      <c r="F38" s="79">
        <v>224</v>
      </c>
      <c r="G38" s="79">
        <v>202</v>
      </c>
      <c r="H38" s="79">
        <v>183</v>
      </c>
      <c r="I38" s="79">
        <v>165</v>
      </c>
      <c r="J38" s="79">
        <v>150</v>
      </c>
      <c r="K38" s="79">
        <v>136</v>
      </c>
      <c r="L38" s="79">
        <v>123</v>
      </c>
      <c r="M38" s="79">
        <v>112</v>
      </c>
      <c r="N38" s="79">
        <v>102</v>
      </c>
      <c r="O38" s="79">
        <v>92</v>
      </c>
      <c r="P38" s="79">
        <v>83</v>
      </c>
      <c r="Q38" s="79">
        <v>75</v>
      </c>
      <c r="R38" s="79">
        <v>68</v>
      </c>
      <c r="S38" s="79">
        <v>60</v>
      </c>
      <c r="T38" s="79">
        <v>53</v>
      </c>
      <c r="U38" s="79">
        <v>47</v>
      </c>
      <c r="V38" s="79">
        <v>40</v>
      </c>
      <c r="W38" s="79">
        <v>34</v>
      </c>
    </row>
    <row r="39" spans="2:23" x14ac:dyDescent="0.2">
      <c r="B39" s="30">
        <v>36</v>
      </c>
      <c r="C39" s="79" t="s">
        <v>216</v>
      </c>
      <c r="D39" s="79">
        <v>220</v>
      </c>
      <c r="E39" s="79">
        <v>191</v>
      </c>
      <c r="F39" s="79">
        <v>167</v>
      </c>
      <c r="G39" s="79">
        <v>146</v>
      </c>
      <c r="H39" s="79">
        <v>129</v>
      </c>
      <c r="I39" s="79">
        <v>114</v>
      </c>
      <c r="J39" s="79">
        <v>101</v>
      </c>
      <c r="K39" s="79">
        <v>90</v>
      </c>
      <c r="L39" s="79">
        <v>81</v>
      </c>
      <c r="M39" s="79">
        <v>73</v>
      </c>
      <c r="N39" s="79">
        <v>66</v>
      </c>
      <c r="O39" s="79">
        <v>59</v>
      </c>
      <c r="P39" s="79">
        <v>53</v>
      </c>
      <c r="Q39" s="79">
        <v>48</v>
      </c>
      <c r="R39" s="79">
        <v>42</v>
      </c>
      <c r="S39" s="79">
        <v>37</v>
      </c>
      <c r="T39" s="79">
        <v>32</v>
      </c>
      <c r="U39" s="79">
        <v>28</v>
      </c>
      <c r="V39" s="79">
        <v>23</v>
      </c>
      <c r="W39" s="79">
        <v>19</v>
      </c>
    </row>
    <row r="40" spans="2:23" x14ac:dyDescent="0.2">
      <c r="B40" s="30">
        <v>37</v>
      </c>
      <c r="C40" s="79" t="s">
        <v>217</v>
      </c>
      <c r="D40" s="79">
        <v>755</v>
      </c>
      <c r="E40" s="79">
        <v>649</v>
      </c>
      <c r="F40" s="79">
        <v>563</v>
      </c>
      <c r="G40" s="79">
        <v>492</v>
      </c>
      <c r="H40" s="79">
        <v>434</v>
      </c>
      <c r="I40" s="79">
        <v>387</v>
      </c>
      <c r="J40" s="79">
        <v>348</v>
      </c>
      <c r="K40" s="79">
        <v>315</v>
      </c>
      <c r="L40" s="79">
        <v>286</v>
      </c>
      <c r="M40" s="79">
        <v>259</v>
      </c>
      <c r="N40" s="79">
        <v>235</v>
      </c>
      <c r="O40" s="79">
        <v>211</v>
      </c>
      <c r="P40" s="79">
        <v>187</v>
      </c>
      <c r="Q40" s="79">
        <v>162</v>
      </c>
      <c r="R40" s="79">
        <v>138</v>
      </c>
      <c r="S40" s="79">
        <v>114</v>
      </c>
      <c r="T40" s="79">
        <v>90</v>
      </c>
      <c r="U40" s="79">
        <v>69</v>
      </c>
      <c r="V40" s="79">
        <v>50</v>
      </c>
      <c r="W40" s="79">
        <v>34</v>
      </c>
    </row>
    <row r="41" spans="2:23" x14ac:dyDescent="0.2">
      <c r="B41" s="30">
        <v>38</v>
      </c>
      <c r="C41" s="79" t="s">
        <v>218</v>
      </c>
      <c r="D41" s="79">
        <v>631</v>
      </c>
      <c r="E41" s="79">
        <v>545</v>
      </c>
      <c r="F41" s="79">
        <v>473</v>
      </c>
      <c r="G41" s="79">
        <v>414</v>
      </c>
      <c r="H41" s="79">
        <v>366</v>
      </c>
      <c r="I41" s="79">
        <v>325</v>
      </c>
      <c r="J41" s="79">
        <v>291</v>
      </c>
      <c r="K41" s="79">
        <v>262</v>
      </c>
      <c r="L41" s="79">
        <v>236</v>
      </c>
      <c r="M41" s="79">
        <v>213</v>
      </c>
      <c r="N41" s="79">
        <v>191</v>
      </c>
      <c r="O41" s="79">
        <v>170</v>
      </c>
      <c r="P41" s="79">
        <v>150</v>
      </c>
      <c r="Q41" s="79">
        <v>129</v>
      </c>
      <c r="R41" s="79">
        <v>109</v>
      </c>
      <c r="S41" s="79">
        <v>89</v>
      </c>
      <c r="T41" s="79">
        <v>70</v>
      </c>
      <c r="U41" s="79">
        <v>52</v>
      </c>
      <c r="V41" s="79">
        <v>36</v>
      </c>
      <c r="W41" s="79">
        <v>22</v>
      </c>
    </row>
    <row r="42" spans="2:23" x14ac:dyDescent="0.2">
      <c r="B42" s="30">
        <v>39</v>
      </c>
      <c r="C42" s="79" t="s">
        <v>219</v>
      </c>
      <c r="D42" s="79">
        <v>656</v>
      </c>
      <c r="E42" s="79">
        <v>560</v>
      </c>
      <c r="F42" s="79">
        <v>481</v>
      </c>
      <c r="G42" s="79">
        <v>417</v>
      </c>
      <c r="H42" s="79">
        <v>363</v>
      </c>
      <c r="I42" s="79">
        <v>320</v>
      </c>
      <c r="J42" s="79">
        <v>284</v>
      </c>
      <c r="K42" s="79">
        <v>253</v>
      </c>
      <c r="L42" s="79">
        <v>227</v>
      </c>
      <c r="M42" s="79">
        <v>205</v>
      </c>
      <c r="N42" s="79">
        <v>184</v>
      </c>
      <c r="O42" s="79">
        <v>164</v>
      </c>
      <c r="P42" s="79">
        <v>145</v>
      </c>
      <c r="Q42" s="79">
        <v>126</v>
      </c>
      <c r="R42" s="79">
        <v>108</v>
      </c>
      <c r="S42" s="79">
        <v>90</v>
      </c>
      <c r="T42" s="79">
        <v>72</v>
      </c>
      <c r="U42" s="79">
        <v>55</v>
      </c>
      <c r="V42" s="79">
        <v>40</v>
      </c>
      <c r="W42" s="79">
        <v>28</v>
      </c>
    </row>
    <row r="43" spans="2:23" x14ac:dyDescent="0.2">
      <c r="B43" s="30">
        <v>40</v>
      </c>
      <c r="C43" s="79" t="s">
        <v>220</v>
      </c>
      <c r="D43" s="79">
        <v>631</v>
      </c>
      <c r="E43" s="79">
        <v>527</v>
      </c>
      <c r="F43" s="79">
        <v>442</v>
      </c>
      <c r="G43" s="79">
        <v>373</v>
      </c>
      <c r="H43" s="79">
        <v>318</v>
      </c>
      <c r="I43" s="79">
        <v>273</v>
      </c>
      <c r="J43" s="79">
        <v>237</v>
      </c>
      <c r="K43" s="79">
        <v>207</v>
      </c>
      <c r="L43" s="79">
        <v>183</v>
      </c>
      <c r="M43" s="79">
        <v>162</v>
      </c>
      <c r="N43" s="79">
        <v>144</v>
      </c>
      <c r="O43" s="79">
        <v>127</v>
      </c>
      <c r="P43" s="79">
        <v>111</v>
      </c>
      <c r="Q43" s="79">
        <v>95</v>
      </c>
      <c r="R43" s="79">
        <v>80</v>
      </c>
      <c r="S43" s="79">
        <v>64</v>
      </c>
      <c r="T43" s="79">
        <v>49</v>
      </c>
      <c r="U43" s="79">
        <v>35</v>
      </c>
      <c r="V43" s="79">
        <v>22</v>
      </c>
      <c r="W43" s="79">
        <v>11</v>
      </c>
    </row>
    <row r="44" spans="2:23" x14ac:dyDescent="0.2">
      <c r="B44" s="30">
        <v>41</v>
      </c>
      <c r="C44" s="79" t="s">
        <v>221</v>
      </c>
      <c r="D44" s="79">
        <v>517</v>
      </c>
      <c r="E44" s="79">
        <v>429</v>
      </c>
      <c r="F44" s="79">
        <v>357</v>
      </c>
      <c r="G44" s="79">
        <v>298</v>
      </c>
      <c r="H44" s="79">
        <v>252</v>
      </c>
      <c r="I44" s="79">
        <v>215</v>
      </c>
      <c r="J44" s="79">
        <v>185</v>
      </c>
      <c r="K44" s="79">
        <v>161</v>
      </c>
      <c r="L44" s="79">
        <v>142</v>
      </c>
      <c r="M44" s="79">
        <v>126</v>
      </c>
      <c r="N44" s="79">
        <v>111</v>
      </c>
      <c r="O44" s="79">
        <v>98</v>
      </c>
      <c r="P44" s="79">
        <v>86</v>
      </c>
      <c r="Q44" s="79">
        <v>73</v>
      </c>
      <c r="R44" s="79">
        <v>61</v>
      </c>
      <c r="S44" s="79">
        <v>49</v>
      </c>
      <c r="T44" s="79">
        <v>36</v>
      </c>
      <c r="U44" s="79">
        <v>25</v>
      </c>
      <c r="V44" s="79">
        <v>15</v>
      </c>
      <c r="W44" s="79">
        <v>7</v>
      </c>
    </row>
    <row r="45" spans="2:23" x14ac:dyDescent="0.2">
      <c r="B45" s="30">
        <v>42</v>
      </c>
      <c r="C45" s="79" t="s">
        <v>222</v>
      </c>
      <c r="D45" s="79">
        <v>437</v>
      </c>
      <c r="E45" s="79">
        <v>358</v>
      </c>
      <c r="F45" s="79">
        <v>293</v>
      </c>
      <c r="G45" s="79">
        <v>241</v>
      </c>
      <c r="H45" s="79">
        <v>200</v>
      </c>
      <c r="I45" s="79">
        <v>167</v>
      </c>
      <c r="J45" s="79">
        <v>141</v>
      </c>
      <c r="K45" s="79">
        <v>120</v>
      </c>
      <c r="L45" s="79">
        <v>104</v>
      </c>
      <c r="M45" s="79">
        <v>91</v>
      </c>
      <c r="N45" s="79">
        <v>79</v>
      </c>
      <c r="O45" s="79">
        <v>70</v>
      </c>
      <c r="P45" s="79">
        <v>60</v>
      </c>
      <c r="Q45" s="79">
        <v>52</v>
      </c>
      <c r="R45" s="79">
        <v>43</v>
      </c>
      <c r="S45" s="79">
        <v>34</v>
      </c>
      <c r="T45" s="79">
        <v>25</v>
      </c>
      <c r="U45" s="79">
        <v>17</v>
      </c>
      <c r="V45" s="79">
        <v>10</v>
      </c>
      <c r="W45" s="79">
        <v>4</v>
      </c>
    </row>
    <row r="46" spans="2:23" x14ac:dyDescent="0.2">
      <c r="B46" s="30">
        <v>43</v>
      </c>
      <c r="C46" s="79" t="s">
        <v>223</v>
      </c>
      <c r="D46" s="79">
        <v>596</v>
      </c>
      <c r="E46" s="79">
        <v>495</v>
      </c>
      <c r="F46" s="79">
        <v>412</v>
      </c>
      <c r="G46" s="79">
        <v>344</v>
      </c>
      <c r="H46" s="79">
        <v>289</v>
      </c>
      <c r="I46" s="79">
        <v>244</v>
      </c>
      <c r="J46" s="79">
        <v>208</v>
      </c>
      <c r="K46" s="79">
        <v>179</v>
      </c>
      <c r="L46" s="79">
        <v>155</v>
      </c>
      <c r="M46" s="79">
        <v>135</v>
      </c>
      <c r="N46" s="79">
        <v>118</v>
      </c>
      <c r="O46" s="79">
        <v>103</v>
      </c>
      <c r="P46" s="79">
        <v>90</v>
      </c>
      <c r="Q46" s="79">
        <v>77</v>
      </c>
      <c r="R46" s="79">
        <v>64</v>
      </c>
      <c r="S46" s="79">
        <v>51</v>
      </c>
      <c r="T46" s="79">
        <v>39</v>
      </c>
      <c r="U46" s="79">
        <v>27</v>
      </c>
      <c r="V46" s="79">
        <v>16</v>
      </c>
      <c r="W46" s="79">
        <v>7</v>
      </c>
    </row>
    <row r="47" spans="2:23" x14ac:dyDescent="0.2">
      <c r="B47" s="30">
        <v>44</v>
      </c>
      <c r="C47" s="79" t="s">
        <v>224</v>
      </c>
      <c r="D47" s="79">
        <v>490</v>
      </c>
      <c r="E47" s="79">
        <v>396</v>
      </c>
      <c r="F47" s="79">
        <v>320</v>
      </c>
      <c r="G47" s="79">
        <v>259</v>
      </c>
      <c r="H47" s="79">
        <v>211</v>
      </c>
      <c r="I47" s="79">
        <v>173</v>
      </c>
      <c r="J47" s="79">
        <v>144</v>
      </c>
      <c r="K47" s="79">
        <v>122</v>
      </c>
      <c r="L47" s="79">
        <v>105</v>
      </c>
      <c r="M47" s="79">
        <v>91</v>
      </c>
      <c r="N47" s="79">
        <v>80</v>
      </c>
      <c r="O47" s="79">
        <v>70</v>
      </c>
      <c r="P47" s="79">
        <v>61</v>
      </c>
      <c r="Q47" s="79">
        <v>52</v>
      </c>
      <c r="R47" s="79">
        <v>43</v>
      </c>
      <c r="S47" s="79">
        <v>34</v>
      </c>
      <c r="T47" s="79">
        <v>25</v>
      </c>
      <c r="U47" s="79">
        <v>17</v>
      </c>
      <c r="V47" s="79">
        <v>9</v>
      </c>
      <c r="W47" s="79">
        <v>3</v>
      </c>
    </row>
    <row r="48" spans="2:23" x14ac:dyDescent="0.2">
      <c r="B48" s="30">
        <v>45</v>
      </c>
      <c r="C48" s="79" t="s">
        <v>225</v>
      </c>
      <c r="D48" s="79">
        <v>552</v>
      </c>
      <c r="E48" s="79">
        <v>446</v>
      </c>
      <c r="F48" s="79">
        <v>362</v>
      </c>
      <c r="G48" s="79">
        <v>295</v>
      </c>
      <c r="H48" s="79">
        <v>243</v>
      </c>
      <c r="I48" s="79">
        <v>203</v>
      </c>
      <c r="J48" s="79">
        <v>172</v>
      </c>
      <c r="K48" s="79">
        <v>148</v>
      </c>
      <c r="L48" s="79">
        <v>130</v>
      </c>
      <c r="M48" s="79">
        <v>115</v>
      </c>
      <c r="N48" s="79">
        <v>102</v>
      </c>
      <c r="O48" s="79">
        <v>90</v>
      </c>
      <c r="P48" s="79">
        <v>79</v>
      </c>
      <c r="Q48" s="79">
        <v>67</v>
      </c>
      <c r="R48" s="79">
        <v>55</v>
      </c>
      <c r="S48" s="79">
        <v>43</v>
      </c>
      <c r="T48" s="79">
        <v>31</v>
      </c>
      <c r="U48" s="79">
        <v>20</v>
      </c>
      <c r="V48" s="79">
        <v>10</v>
      </c>
      <c r="W48" s="79">
        <v>3</v>
      </c>
    </row>
    <row r="49" spans="2:23" x14ac:dyDescent="0.2">
      <c r="B49" s="30">
        <v>46</v>
      </c>
      <c r="C49" s="79" t="s">
        <v>226</v>
      </c>
      <c r="D49" s="79">
        <v>580</v>
      </c>
      <c r="E49" s="79">
        <v>469</v>
      </c>
      <c r="F49" s="79">
        <v>379</v>
      </c>
      <c r="G49" s="79">
        <v>308</v>
      </c>
      <c r="H49" s="79">
        <v>253</v>
      </c>
      <c r="I49" s="79">
        <v>210</v>
      </c>
      <c r="J49" s="79">
        <v>176</v>
      </c>
      <c r="K49" s="79">
        <v>151</v>
      </c>
      <c r="L49" s="79">
        <v>131</v>
      </c>
      <c r="M49" s="79">
        <v>115</v>
      </c>
      <c r="N49" s="79">
        <v>101</v>
      </c>
      <c r="O49" s="79">
        <v>89</v>
      </c>
      <c r="P49" s="79">
        <v>78</v>
      </c>
      <c r="Q49" s="79">
        <v>67</v>
      </c>
      <c r="R49" s="79">
        <v>55</v>
      </c>
      <c r="S49" s="79">
        <v>44</v>
      </c>
      <c r="T49" s="79">
        <v>32</v>
      </c>
      <c r="U49" s="79">
        <v>21</v>
      </c>
      <c r="V49" s="79">
        <v>11</v>
      </c>
      <c r="W49" s="79">
        <v>4</v>
      </c>
    </row>
    <row r="50" spans="2:23" x14ac:dyDescent="0.2">
      <c r="B50" s="30">
        <v>47</v>
      </c>
      <c r="C50" s="79" t="s">
        <v>227</v>
      </c>
      <c r="D50" s="79">
        <v>595</v>
      </c>
      <c r="E50" s="79">
        <v>485</v>
      </c>
      <c r="F50" s="79">
        <v>397</v>
      </c>
      <c r="G50" s="79">
        <v>325</v>
      </c>
      <c r="H50" s="79">
        <v>269</v>
      </c>
      <c r="I50" s="79">
        <v>224</v>
      </c>
      <c r="J50" s="79">
        <v>189</v>
      </c>
      <c r="K50" s="79">
        <v>161</v>
      </c>
      <c r="L50" s="79">
        <v>140</v>
      </c>
      <c r="M50" s="79">
        <v>122</v>
      </c>
      <c r="N50" s="79">
        <v>107</v>
      </c>
      <c r="O50" s="79">
        <v>94</v>
      </c>
      <c r="P50" s="79">
        <v>82</v>
      </c>
      <c r="Q50" s="79">
        <v>70</v>
      </c>
      <c r="R50" s="79">
        <v>58</v>
      </c>
      <c r="S50" s="79">
        <v>46</v>
      </c>
      <c r="T50" s="79">
        <v>34</v>
      </c>
      <c r="U50" s="79">
        <v>22</v>
      </c>
      <c r="V50" s="79">
        <v>12</v>
      </c>
      <c r="W50" s="79">
        <v>4</v>
      </c>
    </row>
    <row r="51" spans="2:23" x14ac:dyDescent="0.2">
      <c r="B51" s="30">
        <v>48</v>
      </c>
      <c r="C51" s="79" t="s">
        <v>228</v>
      </c>
      <c r="D51" s="79">
        <v>627</v>
      </c>
      <c r="E51" s="79">
        <v>513</v>
      </c>
      <c r="F51" s="79">
        <v>421</v>
      </c>
      <c r="G51" s="79">
        <v>347</v>
      </c>
      <c r="H51" s="79">
        <v>288</v>
      </c>
      <c r="I51" s="79">
        <v>241</v>
      </c>
      <c r="J51" s="79">
        <v>205</v>
      </c>
      <c r="K51" s="79">
        <v>176</v>
      </c>
      <c r="L51" s="79">
        <v>153</v>
      </c>
      <c r="M51" s="79">
        <v>134</v>
      </c>
      <c r="N51" s="79">
        <v>118</v>
      </c>
      <c r="O51" s="79">
        <v>103</v>
      </c>
      <c r="P51" s="79">
        <v>90</v>
      </c>
      <c r="Q51" s="79">
        <v>76</v>
      </c>
      <c r="R51" s="79">
        <v>63</v>
      </c>
      <c r="S51" s="79">
        <v>49</v>
      </c>
      <c r="T51" s="79">
        <v>36</v>
      </c>
      <c r="U51" s="79">
        <v>23</v>
      </c>
      <c r="V51" s="79">
        <v>12</v>
      </c>
      <c r="W51" s="79">
        <v>3</v>
      </c>
    </row>
    <row r="52" spans="2:23" x14ac:dyDescent="0.2">
      <c r="B52" s="30">
        <v>49</v>
      </c>
      <c r="C52" s="79" t="s">
        <v>229</v>
      </c>
      <c r="D52" s="79">
        <v>664</v>
      </c>
      <c r="E52" s="79">
        <v>537</v>
      </c>
      <c r="F52" s="79">
        <v>436</v>
      </c>
      <c r="G52" s="79">
        <v>354</v>
      </c>
      <c r="H52" s="79">
        <v>290</v>
      </c>
      <c r="I52" s="79">
        <v>241</v>
      </c>
      <c r="J52" s="79">
        <v>202</v>
      </c>
      <c r="K52" s="79">
        <v>172</v>
      </c>
      <c r="L52" s="79">
        <v>149</v>
      </c>
      <c r="M52" s="79">
        <v>130</v>
      </c>
      <c r="N52" s="79">
        <v>114</v>
      </c>
      <c r="O52" s="79">
        <v>100</v>
      </c>
      <c r="P52" s="79">
        <v>87</v>
      </c>
      <c r="Q52" s="79">
        <v>74</v>
      </c>
      <c r="R52" s="79">
        <v>61</v>
      </c>
      <c r="S52" s="79">
        <v>48</v>
      </c>
      <c r="T52" s="79">
        <v>34</v>
      </c>
      <c r="U52" s="79">
        <v>22</v>
      </c>
      <c r="V52" s="79">
        <v>11</v>
      </c>
      <c r="W52" s="79">
        <v>2</v>
      </c>
    </row>
    <row r="53" spans="2:23" x14ac:dyDescent="0.2">
      <c r="B53" s="30">
        <v>50</v>
      </c>
      <c r="C53" s="79" t="s">
        <v>230</v>
      </c>
      <c r="D53" s="79">
        <v>485</v>
      </c>
      <c r="E53" s="79">
        <v>391</v>
      </c>
      <c r="F53" s="79">
        <v>315</v>
      </c>
      <c r="G53" s="79">
        <v>256</v>
      </c>
      <c r="H53" s="79">
        <v>210</v>
      </c>
      <c r="I53" s="79">
        <v>174</v>
      </c>
      <c r="J53" s="79">
        <v>147</v>
      </c>
      <c r="K53" s="79">
        <v>126</v>
      </c>
      <c r="L53" s="79">
        <v>110</v>
      </c>
      <c r="M53" s="79">
        <v>98</v>
      </c>
      <c r="N53" s="79">
        <v>87</v>
      </c>
      <c r="O53" s="79">
        <v>78</v>
      </c>
      <c r="P53" s="79">
        <v>69</v>
      </c>
      <c r="Q53" s="79">
        <v>60</v>
      </c>
      <c r="R53" s="79">
        <v>50</v>
      </c>
      <c r="S53" s="79">
        <v>41</v>
      </c>
      <c r="T53" s="79">
        <v>31</v>
      </c>
      <c r="U53" s="79">
        <v>22</v>
      </c>
      <c r="V53" s="79">
        <v>14</v>
      </c>
      <c r="W53" s="79">
        <v>8</v>
      </c>
    </row>
    <row r="54" spans="2:23" x14ac:dyDescent="0.2">
      <c r="B54" s="30">
        <v>51</v>
      </c>
      <c r="C54" s="79" t="s">
        <v>231</v>
      </c>
      <c r="D54" s="79">
        <v>498</v>
      </c>
      <c r="E54" s="79">
        <v>401</v>
      </c>
      <c r="F54" s="79">
        <v>324</v>
      </c>
      <c r="G54" s="79">
        <v>262</v>
      </c>
      <c r="H54" s="79">
        <v>213</v>
      </c>
      <c r="I54" s="79">
        <v>175</v>
      </c>
      <c r="J54" s="79">
        <v>146</v>
      </c>
      <c r="K54" s="79">
        <v>124</v>
      </c>
      <c r="L54" s="79">
        <v>107</v>
      </c>
      <c r="M54" s="79">
        <v>93</v>
      </c>
      <c r="N54" s="79">
        <v>82</v>
      </c>
      <c r="O54" s="79">
        <v>72</v>
      </c>
      <c r="P54" s="79">
        <v>63</v>
      </c>
      <c r="Q54" s="79">
        <v>53</v>
      </c>
      <c r="R54" s="79">
        <v>44</v>
      </c>
      <c r="S54" s="79">
        <v>35</v>
      </c>
      <c r="T54" s="79">
        <v>25</v>
      </c>
      <c r="U54" s="79">
        <v>16</v>
      </c>
      <c r="V54" s="79">
        <v>8</v>
      </c>
      <c r="W54" s="79">
        <v>2</v>
      </c>
    </row>
    <row r="55" spans="2:23" x14ac:dyDescent="0.2">
      <c r="B55" s="30">
        <v>52</v>
      </c>
      <c r="C55" s="79" t="s">
        <v>232</v>
      </c>
      <c r="D55" s="79">
        <v>284</v>
      </c>
      <c r="E55" s="79">
        <v>231</v>
      </c>
      <c r="F55" s="79">
        <v>187</v>
      </c>
      <c r="G55" s="79">
        <v>152</v>
      </c>
      <c r="H55" s="79">
        <v>124</v>
      </c>
      <c r="I55" s="79">
        <v>102</v>
      </c>
      <c r="J55" s="79">
        <v>84</v>
      </c>
      <c r="K55" s="79">
        <v>71</v>
      </c>
      <c r="L55" s="79">
        <v>60</v>
      </c>
      <c r="M55" s="79">
        <v>51</v>
      </c>
      <c r="N55" s="79">
        <v>45</v>
      </c>
      <c r="O55" s="79">
        <v>39</v>
      </c>
      <c r="P55" s="79">
        <v>34</v>
      </c>
      <c r="Q55" s="79">
        <v>29</v>
      </c>
      <c r="R55" s="79">
        <v>25</v>
      </c>
      <c r="S55" s="79">
        <v>20</v>
      </c>
      <c r="T55" s="79">
        <v>15</v>
      </c>
      <c r="U55" s="79">
        <v>11</v>
      </c>
      <c r="V55" s="79">
        <v>7</v>
      </c>
      <c r="W55" s="79">
        <v>3</v>
      </c>
    </row>
    <row r="56" spans="2:23" x14ac:dyDescent="0.2">
      <c r="B56" s="30">
        <v>53</v>
      </c>
      <c r="C56" s="79" t="s">
        <v>233</v>
      </c>
      <c r="D56" s="79">
        <v>499</v>
      </c>
      <c r="E56" s="79">
        <v>406</v>
      </c>
      <c r="F56" s="79">
        <v>331</v>
      </c>
      <c r="G56" s="79">
        <v>271</v>
      </c>
      <c r="H56" s="79">
        <v>223</v>
      </c>
      <c r="I56" s="79">
        <v>186</v>
      </c>
      <c r="J56" s="79">
        <v>157</v>
      </c>
      <c r="K56" s="79">
        <v>134</v>
      </c>
      <c r="L56" s="79">
        <v>116</v>
      </c>
      <c r="M56" s="79">
        <v>101</v>
      </c>
      <c r="N56" s="79">
        <v>89</v>
      </c>
      <c r="O56" s="79">
        <v>78</v>
      </c>
      <c r="P56" s="79">
        <v>68</v>
      </c>
      <c r="Q56" s="79">
        <v>58</v>
      </c>
      <c r="R56" s="79">
        <v>47</v>
      </c>
      <c r="S56" s="79">
        <v>37</v>
      </c>
      <c r="T56" s="79">
        <v>27</v>
      </c>
      <c r="U56" s="79">
        <v>17</v>
      </c>
      <c r="V56" s="79">
        <v>9</v>
      </c>
      <c r="W56" s="79">
        <v>2</v>
      </c>
    </row>
    <row r="57" spans="2:23" x14ac:dyDescent="0.2">
      <c r="B57" s="30">
        <v>54</v>
      </c>
      <c r="C57" s="79" t="s">
        <v>234</v>
      </c>
      <c r="D57" s="79">
        <v>412</v>
      </c>
      <c r="E57" s="79">
        <v>332</v>
      </c>
      <c r="F57" s="79">
        <v>269</v>
      </c>
      <c r="G57" s="79">
        <v>218</v>
      </c>
      <c r="H57" s="79">
        <v>179</v>
      </c>
      <c r="I57" s="79">
        <v>148</v>
      </c>
      <c r="J57" s="79">
        <v>125</v>
      </c>
      <c r="K57" s="79">
        <v>107</v>
      </c>
      <c r="L57" s="79">
        <v>93</v>
      </c>
      <c r="M57" s="79">
        <v>82</v>
      </c>
      <c r="N57" s="79">
        <v>73</v>
      </c>
      <c r="O57" s="79">
        <v>65</v>
      </c>
      <c r="P57" s="79">
        <v>57</v>
      </c>
      <c r="Q57" s="79">
        <v>49</v>
      </c>
      <c r="R57" s="79">
        <v>41</v>
      </c>
      <c r="S57" s="79">
        <v>33</v>
      </c>
      <c r="T57" s="79">
        <v>25</v>
      </c>
      <c r="U57" s="79">
        <v>17</v>
      </c>
      <c r="V57" s="79">
        <v>10</v>
      </c>
      <c r="W57" s="79">
        <v>5</v>
      </c>
    </row>
    <row r="58" spans="2:23" x14ac:dyDescent="0.2">
      <c r="B58" s="80">
        <v>55</v>
      </c>
      <c r="C58" s="79" t="s">
        <v>235</v>
      </c>
      <c r="D58" s="79">
        <v>430</v>
      </c>
      <c r="E58" s="79">
        <v>351</v>
      </c>
      <c r="F58" s="79">
        <v>286</v>
      </c>
      <c r="G58" s="79">
        <v>233</v>
      </c>
      <c r="H58" s="79">
        <v>191</v>
      </c>
      <c r="I58" s="79">
        <v>158</v>
      </c>
      <c r="J58" s="79">
        <v>132</v>
      </c>
      <c r="K58" s="79">
        <v>111</v>
      </c>
      <c r="L58" s="79">
        <v>95</v>
      </c>
      <c r="M58" s="79">
        <v>82</v>
      </c>
      <c r="N58" s="79">
        <v>71</v>
      </c>
      <c r="O58" s="79">
        <v>62</v>
      </c>
      <c r="P58" s="79">
        <v>54</v>
      </c>
      <c r="Q58" s="79">
        <v>46</v>
      </c>
      <c r="R58" s="79">
        <v>38</v>
      </c>
      <c r="S58" s="79">
        <v>30</v>
      </c>
      <c r="T58" s="79">
        <v>22</v>
      </c>
      <c r="U58" s="79">
        <v>14</v>
      </c>
      <c r="V58" s="79">
        <v>7</v>
      </c>
      <c r="W58" s="79">
        <v>1</v>
      </c>
    </row>
    <row r="59" spans="2:23" x14ac:dyDescent="0.2">
      <c r="B59" s="80">
        <v>56</v>
      </c>
      <c r="C59" s="79" t="s">
        <v>236</v>
      </c>
      <c r="D59" s="79">
        <v>352</v>
      </c>
      <c r="E59" s="79">
        <v>284</v>
      </c>
      <c r="F59" s="79">
        <v>230</v>
      </c>
      <c r="G59" s="79">
        <v>186</v>
      </c>
      <c r="H59" s="79">
        <v>151</v>
      </c>
      <c r="I59" s="79">
        <v>125</v>
      </c>
      <c r="J59" s="79">
        <v>104</v>
      </c>
      <c r="K59" s="79">
        <v>88</v>
      </c>
      <c r="L59" s="79">
        <v>75</v>
      </c>
      <c r="M59" s="79">
        <v>66</v>
      </c>
      <c r="N59" s="79">
        <v>58</v>
      </c>
      <c r="O59" s="79">
        <v>51</v>
      </c>
      <c r="P59" s="79">
        <v>45</v>
      </c>
      <c r="Q59" s="79">
        <v>39</v>
      </c>
      <c r="R59" s="79">
        <v>32</v>
      </c>
      <c r="S59" s="79">
        <v>26</v>
      </c>
      <c r="T59" s="79">
        <v>20</v>
      </c>
      <c r="U59" s="79">
        <v>14</v>
      </c>
      <c r="V59" s="79">
        <v>9</v>
      </c>
      <c r="W59" s="79">
        <v>5</v>
      </c>
    </row>
    <row r="60" spans="2:23" x14ac:dyDescent="0.2">
      <c r="B60" s="80">
        <v>57</v>
      </c>
      <c r="C60" s="79" t="s">
        <v>237</v>
      </c>
      <c r="D60" s="79">
        <v>687</v>
      </c>
      <c r="E60" s="79">
        <v>565</v>
      </c>
      <c r="F60" s="79">
        <v>465</v>
      </c>
      <c r="G60" s="79">
        <v>384</v>
      </c>
      <c r="H60" s="79">
        <v>318</v>
      </c>
      <c r="I60" s="79">
        <v>266</v>
      </c>
      <c r="J60" s="79">
        <v>224</v>
      </c>
      <c r="K60" s="79">
        <v>191</v>
      </c>
      <c r="L60" s="79">
        <v>164</v>
      </c>
      <c r="M60" s="79">
        <v>143</v>
      </c>
      <c r="N60" s="79">
        <v>124</v>
      </c>
      <c r="O60" s="79">
        <v>108</v>
      </c>
      <c r="P60" s="79">
        <v>93</v>
      </c>
      <c r="Q60" s="79">
        <v>79</v>
      </c>
      <c r="R60" s="79">
        <v>65</v>
      </c>
      <c r="S60" s="79">
        <v>51</v>
      </c>
      <c r="T60" s="79">
        <v>38</v>
      </c>
      <c r="U60" s="79">
        <v>24</v>
      </c>
      <c r="V60" s="79">
        <v>12</v>
      </c>
      <c r="W60" s="79">
        <v>2</v>
      </c>
    </row>
    <row r="61" spans="2:23" x14ac:dyDescent="0.2">
      <c r="B61" s="80">
        <v>58</v>
      </c>
      <c r="C61" s="79" t="s">
        <v>238</v>
      </c>
      <c r="D61" s="79">
        <v>558</v>
      </c>
      <c r="E61" s="79">
        <v>457</v>
      </c>
      <c r="F61" s="79">
        <v>374</v>
      </c>
      <c r="G61" s="79">
        <v>307</v>
      </c>
      <c r="H61" s="79">
        <v>253</v>
      </c>
      <c r="I61" s="79">
        <v>210</v>
      </c>
      <c r="J61" s="79">
        <v>176</v>
      </c>
      <c r="K61" s="79">
        <v>149</v>
      </c>
      <c r="L61" s="79">
        <v>127</v>
      </c>
      <c r="M61" s="79">
        <v>110</v>
      </c>
      <c r="N61" s="79">
        <v>95</v>
      </c>
      <c r="O61" s="79">
        <v>83</v>
      </c>
      <c r="P61" s="79">
        <v>71</v>
      </c>
      <c r="Q61" s="79">
        <v>60</v>
      </c>
      <c r="R61" s="79">
        <v>50</v>
      </c>
      <c r="S61" s="79">
        <v>39</v>
      </c>
      <c r="T61" s="79">
        <v>29</v>
      </c>
      <c r="U61" s="79">
        <v>19</v>
      </c>
      <c r="V61" s="79">
        <v>9</v>
      </c>
      <c r="W61" s="79">
        <v>1</v>
      </c>
    </row>
    <row r="62" spans="2:23" x14ac:dyDescent="0.2">
      <c r="B62" s="80">
        <v>59</v>
      </c>
      <c r="C62" s="79" t="s">
        <v>239</v>
      </c>
      <c r="D62" s="79">
        <v>1173</v>
      </c>
      <c r="E62" s="79">
        <v>987</v>
      </c>
      <c r="F62" s="79">
        <v>833</v>
      </c>
      <c r="G62" s="79">
        <v>706</v>
      </c>
      <c r="H62" s="79">
        <v>603</v>
      </c>
      <c r="I62" s="79">
        <v>518</v>
      </c>
      <c r="J62" s="79">
        <v>448</v>
      </c>
      <c r="K62" s="79">
        <v>391</v>
      </c>
      <c r="L62" s="79">
        <v>342</v>
      </c>
      <c r="M62" s="79">
        <v>301</v>
      </c>
      <c r="N62" s="79">
        <v>264</v>
      </c>
      <c r="O62" s="79">
        <v>230</v>
      </c>
      <c r="P62" s="79">
        <v>198</v>
      </c>
      <c r="Q62" s="79">
        <v>166</v>
      </c>
      <c r="R62" s="79">
        <v>136</v>
      </c>
      <c r="S62" s="79">
        <v>105</v>
      </c>
      <c r="T62" s="79">
        <v>76</v>
      </c>
      <c r="U62" s="79">
        <v>48</v>
      </c>
      <c r="V62" s="79">
        <v>22</v>
      </c>
      <c r="W62" s="79">
        <v>1</v>
      </c>
    </row>
    <row r="63" spans="2:23" x14ac:dyDescent="0.2">
      <c r="B63" s="80">
        <v>60</v>
      </c>
      <c r="C63" s="79" t="s">
        <v>240</v>
      </c>
      <c r="D63" s="79">
        <v>797</v>
      </c>
      <c r="E63" s="79">
        <v>663</v>
      </c>
      <c r="F63" s="79">
        <v>552</v>
      </c>
      <c r="G63" s="79">
        <v>462</v>
      </c>
      <c r="H63" s="79">
        <v>388</v>
      </c>
      <c r="I63" s="79">
        <v>328</v>
      </c>
      <c r="J63" s="79">
        <v>280</v>
      </c>
      <c r="K63" s="79">
        <v>241</v>
      </c>
      <c r="L63" s="79">
        <v>209</v>
      </c>
      <c r="M63" s="79">
        <v>182</v>
      </c>
      <c r="N63" s="79">
        <v>158</v>
      </c>
      <c r="O63" s="79">
        <v>138</v>
      </c>
      <c r="P63" s="79">
        <v>118</v>
      </c>
      <c r="Q63" s="79">
        <v>100</v>
      </c>
      <c r="R63" s="79">
        <v>82</v>
      </c>
      <c r="S63" s="79">
        <v>64</v>
      </c>
      <c r="T63" s="79">
        <v>47</v>
      </c>
      <c r="U63" s="79">
        <v>30</v>
      </c>
      <c r="V63" s="79">
        <v>15</v>
      </c>
      <c r="W63" s="79">
        <v>2</v>
      </c>
    </row>
    <row r="64" spans="2:23" x14ac:dyDescent="0.2">
      <c r="B64" s="80">
        <v>61</v>
      </c>
      <c r="C64" s="79" t="s">
        <v>241</v>
      </c>
      <c r="D64" s="79">
        <v>849</v>
      </c>
      <c r="E64" s="79">
        <v>702</v>
      </c>
      <c r="F64" s="79">
        <v>582</v>
      </c>
      <c r="G64" s="79">
        <v>484</v>
      </c>
      <c r="H64" s="79">
        <v>405</v>
      </c>
      <c r="I64" s="79">
        <v>341</v>
      </c>
      <c r="J64" s="79">
        <v>290</v>
      </c>
      <c r="K64" s="79">
        <v>250</v>
      </c>
      <c r="L64" s="79">
        <v>216</v>
      </c>
      <c r="M64" s="79">
        <v>189</v>
      </c>
      <c r="N64" s="79">
        <v>165</v>
      </c>
      <c r="O64" s="79">
        <v>144</v>
      </c>
      <c r="P64" s="79">
        <v>124</v>
      </c>
      <c r="Q64" s="79">
        <v>105</v>
      </c>
      <c r="R64" s="79">
        <v>86</v>
      </c>
      <c r="S64" s="79">
        <v>67</v>
      </c>
      <c r="T64" s="79">
        <v>48</v>
      </c>
      <c r="U64" s="79">
        <v>31</v>
      </c>
      <c r="V64" s="79">
        <v>15</v>
      </c>
      <c r="W64" s="79">
        <v>1</v>
      </c>
    </row>
    <row r="65" spans="2:23" x14ac:dyDescent="0.2">
      <c r="B65" s="80">
        <v>62</v>
      </c>
      <c r="C65" s="79" t="s">
        <v>242</v>
      </c>
      <c r="D65" s="79">
        <v>742</v>
      </c>
      <c r="E65" s="79">
        <v>615</v>
      </c>
      <c r="F65" s="79">
        <v>511</v>
      </c>
      <c r="G65" s="79">
        <v>426</v>
      </c>
      <c r="H65" s="79">
        <v>357</v>
      </c>
      <c r="I65" s="79">
        <v>301</v>
      </c>
      <c r="J65" s="79">
        <v>256</v>
      </c>
      <c r="K65" s="79">
        <v>220</v>
      </c>
      <c r="L65" s="79">
        <v>190</v>
      </c>
      <c r="M65" s="79">
        <v>165</v>
      </c>
      <c r="N65" s="79">
        <v>144</v>
      </c>
      <c r="O65" s="79">
        <v>125</v>
      </c>
      <c r="P65" s="79">
        <v>108</v>
      </c>
      <c r="Q65" s="79">
        <v>91</v>
      </c>
      <c r="R65" s="79">
        <v>75</v>
      </c>
      <c r="S65" s="79">
        <v>58</v>
      </c>
      <c r="T65" s="79">
        <v>43</v>
      </c>
      <c r="U65" s="79">
        <v>27</v>
      </c>
      <c r="V65" s="79">
        <v>13</v>
      </c>
      <c r="W65" s="79">
        <v>1</v>
      </c>
    </row>
    <row r="66" spans="2:23" x14ac:dyDescent="0.2">
      <c r="B66" s="80">
        <v>63</v>
      </c>
      <c r="C66" s="79" t="s">
        <v>243</v>
      </c>
      <c r="D66" s="79">
        <v>867</v>
      </c>
      <c r="E66" s="79">
        <v>716</v>
      </c>
      <c r="F66" s="79">
        <v>593</v>
      </c>
      <c r="G66" s="79">
        <v>493</v>
      </c>
      <c r="H66" s="79">
        <v>413</v>
      </c>
      <c r="I66" s="79">
        <v>349</v>
      </c>
      <c r="J66" s="79">
        <v>298</v>
      </c>
      <c r="K66" s="79">
        <v>258</v>
      </c>
      <c r="L66" s="79">
        <v>224</v>
      </c>
      <c r="M66" s="79">
        <v>197</v>
      </c>
      <c r="N66" s="79">
        <v>173</v>
      </c>
      <c r="O66" s="79">
        <v>151</v>
      </c>
      <c r="P66" s="79">
        <v>130</v>
      </c>
      <c r="Q66" s="79">
        <v>110</v>
      </c>
      <c r="R66" s="79">
        <v>90</v>
      </c>
      <c r="S66" s="79">
        <v>70</v>
      </c>
      <c r="T66" s="79">
        <v>51</v>
      </c>
      <c r="U66" s="79">
        <v>32</v>
      </c>
      <c r="V66" s="79">
        <v>15</v>
      </c>
      <c r="W66" s="79">
        <v>2</v>
      </c>
    </row>
    <row r="67" spans="2:23" x14ac:dyDescent="0.2">
      <c r="B67" s="80">
        <v>64</v>
      </c>
      <c r="C67" s="79" t="s">
        <v>244</v>
      </c>
      <c r="D67" s="79">
        <v>708</v>
      </c>
      <c r="E67" s="79">
        <v>593</v>
      </c>
      <c r="F67" s="79">
        <v>497</v>
      </c>
      <c r="G67" s="79">
        <v>418</v>
      </c>
      <c r="H67" s="79">
        <v>353</v>
      </c>
      <c r="I67" s="79">
        <v>301</v>
      </c>
      <c r="J67" s="79">
        <v>257</v>
      </c>
      <c r="K67" s="79">
        <v>222</v>
      </c>
      <c r="L67" s="79">
        <v>193</v>
      </c>
      <c r="M67" s="79">
        <v>168</v>
      </c>
      <c r="N67" s="79">
        <v>146</v>
      </c>
      <c r="O67" s="79">
        <v>127</v>
      </c>
      <c r="P67" s="79">
        <v>109</v>
      </c>
      <c r="Q67" s="79">
        <v>92</v>
      </c>
      <c r="R67" s="79">
        <v>76</v>
      </c>
      <c r="S67" s="79">
        <v>59</v>
      </c>
      <c r="T67" s="79">
        <v>43</v>
      </c>
      <c r="U67" s="79">
        <v>28</v>
      </c>
      <c r="V67" s="79">
        <v>14</v>
      </c>
      <c r="W67" s="79">
        <v>2</v>
      </c>
    </row>
    <row r="68" spans="2:23" x14ac:dyDescent="0.2">
      <c r="B68" s="80">
        <v>65</v>
      </c>
      <c r="C68" s="79" t="s">
        <v>245</v>
      </c>
      <c r="D68" s="79">
        <v>1156</v>
      </c>
      <c r="E68" s="79">
        <v>964</v>
      </c>
      <c r="F68" s="79">
        <v>807</v>
      </c>
      <c r="G68" s="79">
        <v>679</v>
      </c>
      <c r="H68" s="79">
        <v>575</v>
      </c>
      <c r="I68" s="79">
        <v>492</v>
      </c>
      <c r="J68" s="79">
        <v>424</v>
      </c>
      <c r="K68" s="79">
        <v>369</v>
      </c>
      <c r="L68" s="79">
        <v>324</v>
      </c>
      <c r="M68" s="79">
        <v>285</v>
      </c>
      <c r="N68" s="79">
        <v>250</v>
      </c>
      <c r="O68" s="79">
        <v>219</v>
      </c>
      <c r="P68" s="79">
        <v>189</v>
      </c>
      <c r="Q68" s="79">
        <v>159</v>
      </c>
      <c r="R68" s="79">
        <v>130</v>
      </c>
      <c r="S68" s="79">
        <v>101</v>
      </c>
      <c r="T68" s="79">
        <v>72</v>
      </c>
      <c r="U68" s="79">
        <v>46</v>
      </c>
      <c r="V68" s="79">
        <v>22</v>
      </c>
      <c r="W68" s="79">
        <v>2</v>
      </c>
    </row>
    <row r="69" spans="2:23" x14ac:dyDescent="0.2">
      <c r="B69" s="80">
        <v>66</v>
      </c>
      <c r="C69" s="79" t="s">
        <v>246</v>
      </c>
      <c r="D69" s="79">
        <v>1045</v>
      </c>
      <c r="E69" s="79">
        <v>874</v>
      </c>
      <c r="F69" s="79">
        <v>734</v>
      </c>
      <c r="G69" s="79">
        <v>618</v>
      </c>
      <c r="H69" s="79">
        <v>525</v>
      </c>
      <c r="I69" s="79">
        <v>448</v>
      </c>
      <c r="J69" s="79">
        <v>386</v>
      </c>
      <c r="K69" s="79">
        <v>335</v>
      </c>
      <c r="L69" s="79">
        <v>293</v>
      </c>
      <c r="M69" s="79">
        <v>257</v>
      </c>
      <c r="N69" s="79">
        <v>225</v>
      </c>
      <c r="O69" s="79">
        <v>197</v>
      </c>
      <c r="P69" s="79">
        <v>169</v>
      </c>
      <c r="Q69" s="79">
        <v>143</v>
      </c>
      <c r="R69" s="79">
        <v>117</v>
      </c>
      <c r="S69" s="79">
        <v>91</v>
      </c>
      <c r="T69" s="79">
        <v>66</v>
      </c>
      <c r="U69" s="79">
        <v>42</v>
      </c>
      <c r="V69" s="79">
        <v>20</v>
      </c>
      <c r="W69" s="79">
        <v>2</v>
      </c>
    </row>
    <row r="70" spans="2:23" x14ac:dyDescent="0.2">
      <c r="B70" s="80">
        <v>67</v>
      </c>
      <c r="C70" s="79" t="s">
        <v>247</v>
      </c>
      <c r="D70" s="79">
        <v>668</v>
      </c>
      <c r="E70" s="79">
        <v>554</v>
      </c>
      <c r="F70" s="79">
        <v>460</v>
      </c>
      <c r="G70" s="79">
        <v>384</v>
      </c>
      <c r="H70" s="79">
        <v>322</v>
      </c>
      <c r="I70" s="79">
        <v>273</v>
      </c>
      <c r="J70" s="79">
        <v>233</v>
      </c>
      <c r="K70" s="79">
        <v>201</v>
      </c>
      <c r="L70" s="79">
        <v>175</v>
      </c>
      <c r="M70" s="79">
        <v>153</v>
      </c>
      <c r="N70" s="79">
        <v>133</v>
      </c>
      <c r="O70" s="79">
        <v>116</v>
      </c>
      <c r="P70" s="79">
        <v>100</v>
      </c>
      <c r="Q70" s="79">
        <v>85</v>
      </c>
      <c r="R70" s="79">
        <v>69</v>
      </c>
      <c r="S70" s="79">
        <v>54</v>
      </c>
      <c r="T70" s="79">
        <v>39</v>
      </c>
      <c r="U70" s="79">
        <v>24</v>
      </c>
      <c r="V70" s="79">
        <v>11</v>
      </c>
      <c r="W70" s="79">
        <v>0</v>
      </c>
    </row>
    <row r="71" spans="2:23" x14ac:dyDescent="0.2">
      <c r="B71" s="80">
        <v>68</v>
      </c>
      <c r="C71" s="79" t="s">
        <v>248</v>
      </c>
      <c r="D71" s="79">
        <v>1048</v>
      </c>
      <c r="E71" s="79">
        <v>867</v>
      </c>
      <c r="F71" s="79">
        <v>719</v>
      </c>
      <c r="G71" s="79">
        <v>600</v>
      </c>
      <c r="H71" s="79">
        <v>505</v>
      </c>
      <c r="I71" s="79">
        <v>428</v>
      </c>
      <c r="J71" s="79">
        <v>367</v>
      </c>
      <c r="K71" s="79">
        <v>318</v>
      </c>
      <c r="L71" s="79">
        <v>278</v>
      </c>
      <c r="M71" s="79">
        <v>245</v>
      </c>
      <c r="N71" s="79">
        <v>215</v>
      </c>
      <c r="O71" s="79">
        <v>188</v>
      </c>
      <c r="P71" s="79">
        <v>162</v>
      </c>
      <c r="Q71" s="79">
        <v>137</v>
      </c>
      <c r="R71" s="79">
        <v>112</v>
      </c>
      <c r="S71" s="79">
        <v>86</v>
      </c>
      <c r="T71" s="79">
        <v>61</v>
      </c>
      <c r="U71" s="79">
        <v>38</v>
      </c>
      <c r="V71" s="79">
        <v>17</v>
      </c>
      <c r="W71" s="79">
        <v>0</v>
      </c>
    </row>
    <row r="72" spans="2:23" x14ac:dyDescent="0.2">
      <c r="B72" s="80">
        <v>69</v>
      </c>
      <c r="C72" s="79" t="s">
        <v>249</v>
      </c>
      <c r="D72" s="79">
        <v>1471</v>
      </c>
      <c r="E72" s="79">
        <v>1238</v>
      </c>
      <c r="F72" s="79">
        <v>1045</v>
      </c>
      <c r="G72" s="79">
        <v>888</v>
      </c>
      <c r="H72" s="79">
        <v>759</v>
      </c>
      <c r="I72" s="79">
        <v>655</v>
      </c>
      <c r="J72" s="79">
        <v>569</v>
      </c>
      <c r="K72" s="79">
        <v>499</v>
      </c>
      <c r="L72" s="79">
        <v>439</v>
      </c>
      <c r="M72" s="79">
        <v>387</v>
      </c>
      <c r="N72" s="79">
        <v>341</v>
      </c>
      <c r="O72" s="79">
        <v>298</v>
      </c>
      <c r="P72" s="79">
        <v>257</v>
      </c>
      <c r="Q72" s="79">
        <v>216</v>
      </c>
      <c r="R72" s="79">
        <v>176</v>
      </c>
      <c r="S72" s="79">
        <v>136</v>
      </c>
      <c r="T72" s="79">
        <v>98</v>
      </c>
      <c r="U72" s="79">
        <v>61</v>
      </c>
      <c r="V72" s="79">
        <v>28</v>
      </c>
      <c r="W72" s="79">
        <v>1</v>
      </c>
    </row>
  </sheetData>
  <sheetProtection password="997E" sheet="1" objects="1" scenarios="1"/>
  <mergeCells count="3">
    <mergeCell ref="D2:W2"/>
    <mergeCell ref="C2:C3"/>
    <mergeCell ref="B2:B3"/>
  </mergeCells>
  <pageMargins left="0.7" right="0.7" top="0.75" bottom="0.75" header="0.3" footer="0.3"/>
  <pageSetup paperSize="2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Path 1. Class3-9 DTS</vt:lpstr>
      <vt:lpstr>Path 2.1. Class 5 DTS (NABERS)</vt:lpstr>
      <vt:lpstr>Path 2.2. Class 2 DTS (NatHERS)</vt:lpstr>
      <vt:lpstr>Path 2.3 Class2-9 Ref. Building</vt:lpstr>
      <vt:lpstr>Mixed Use Calculation</vt:lpstr>
      <vt:lpstr>Synthetic GHG</vt:lpstr>
      <vt:lpstr>References</vt:lpstr>
      <vt:lpstr>ACStarRating</vt:lpstr>
      <vt:lpstr>ComfortControl</vt:lpstr>
      <vt:lpstr>Fuels</vt:lpstr>
      <vt:lpstr>GeoGHGFactor</vt:lpstr>
      <vt:lpstr>GeoLocation</vt:lpstr>
      <vt:lpstr>NatHERSStar</vt:lpstr>
      <vt:lpstr>NatHERSZone</vt:lpstr>
      <vt:lpstr>Option</vt:lpstr>
      <vt:lpstr>OptionNA</vt:lpstr>
      <vt:lpstr>OptNA</vt:lpstr>
      <vt:lpstr>SynthGHGRate</vt:lpstr>
      <vt:lpstr>SynthGHGSource</vt:lpstr>
    </vt:vector>
  </TitlesOfParts>
  <Company>Norman Disney &amp; Young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richardj</dc:creator>
  <cp:lastModifiedBy>Robert Milagre</cp:lastModifiedBy>
  <dcterms:created xsi:type="dcterms:W3CDTF">2014-02-17T05:28:52Z</dcterms:created>
  <dcterms:modified xsi:type="dcterms:W3CDTF">2014-04-28T05:25:59Z</dcterms:modified>
</cp:coreProperties>
</file>